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еречень" sheetId="1" r:id="rId1"/>
    <sheet name="реестр" sheetId="2" r:id="rId2"/>
  </sheets>
  <definedNames>
    <definedName name="_xlnm._FilterDatabase" localSheetId="0" hidden="1">'перечень'!$A$1:$V$1071</definedName>
    <definedName name="_xlnm.Print_Titles" localSheetId="0">'перечень'!$26:$26</definedName>
    <definedName name="_xlnm.Print_Titles" localSheetId="1">'реестр'!$22:$22</definedName>
    <definedName name="_xlnm.Print_Area" localSheetId="0">'перечень'!$A$1:$V$1047</definedName>
    <definedName name="_xlnm.Print_Area" localSheetId="1">'реестр'!$A$1:$P$1051</definedName>
  </definedNames>
  <calcPr fullCalcOnLoad="1"/>
</workbook>
</file>

<file path=xl/sharedStrings.xml><?xml version="1.0" encoding="utf-8"?>
<sst xmlns="http://schemas.openxmlformats.org/spreadsheetml/2006/main" count="5129" uniqueCount="1674">
  <si>
    <t xml:space="preserve">г. Чебоксары, 
ул. Гузовского, д. 1
</t>
  </si>
  <si>
    <t>г. Чебоксары, просп. Мира, 
д. 19</t>
  </si>
  <si>
    <t xml:space="preserve">ремонт системы  водоотведения </t>
  </si>
  <si>
    <t>г. Чебоксары, ул. Ивана Франко, д. 12</t>
  </si>
  <si>
    <t>г. Новочебоксарск, 
ул. Заводская, д. 16</t>
  </si>
  <si>
    <t>г. Чебоксары, ул. Петрова, 
д. 5</t>
  </si>
  <si>
    <t>г. Чебоксары, 
ул. Петрова, д. 7</t>
  </si>
  <si>
    <t>г. Чебоксары, 
ул. Пржевальского, д. 5</t>
  </si>
  <si>
    <t>г. Чебоксары, 
ул. Пржевальского, д. 9</t>
  </si>
  <si>
    <t>г. Чебоксары, 
ул. Привокзальная, д. 12</t>
  </si>
  <si>
    <t>г. Чебоксары, 
ул. Привокзальная, д. 8</t>
  </si>
  <si>
    <t>г. Чебоксары, 
ул. Т. Кривова, д. 14</t>
  </si>
  <si>
    <t>г. Чебоксары, 
ул. Т. Кривова, д. 17</t>
  </si>
  <si>
    <t>г. Чебоксары, 
ул. Хевешская, д. 25</t>
  </si>
  <si>
    <t>г. Чебоксары, ул. Эльгера, 
д. 32</t>
  </si>
  <si>
    <t>г. Чебоксары, ул. Эльгера, 
д. 6</t>
  </si>
  <si>
    <t>г. Чебоксары, 
ул. Энергетиков, д. 22</t>
  </si>
  <si>
    <t>г. Чебоксары, 
ул. Энергетиков, д. 24</t>
  </si>
  <si>
    <t>г. Чебоксары, 
ул. Энергетиков, д. 28</t>
  </si>
  <si>
    <t>г. Чебоксары, 
ул. Ярославская, д. 42</t>
  </si>
  <si>
    <t>пос. Октябрьский, 
ул. Лесхозная, д. 22</t>
  </si>
  <si>
    <t>с. Аликово, ул. Советская, 
д. 36/1</t>
  </si>
  <si>
    <t>с. Аликово, ул. Гагарина, 
д. 41</t>
  </si>
  <si>
    <t>с. Батырево, ул. Кирова, 
д. 16</t>
  </si>
  <si>
    <t>пгт Вурнары, 
ул. А. Иванова, д. 2</t>
  </si>
  <si>
    <t>пгт Вурнары, ул. Ленина, 
д. 117</t>
  </si>
  <si>
    <t>пгт Вурнары, 
ул. Чернышевского, д. 5</t>
  </si>
  <si>
    <t>пгт Ибреси, 
ул. Кооперативная, д. 31</t>
  </si>
  <si>
    <t>с. Шихазаны, 
ул. В.П.  Епифанова, д. 2</t>
  </si>
  <si>
    <t>г. Козловка, 
ул. Лобачевского, д. 9</t>
  </si>
  <si>
    <t>с. Комсомольское, 
мкр. К. Антонова, д. 1</t>
  </si>
  <si>
    <t>с. Комсомольское, 
мкр. К. Антонова, д. 6</t>
  </si>
  <si>
    <t>с. Красноармейское, 
ул. Ленина, д. 78</t>
  </si>
  <si>
    <t>г. Мариинский Посад, 
ул. Котовского, д. 37</t>
  </si>
  <si>
    <t>г. Мариинский Посад, 
ул. Ломоносова, д. 10</t>
  </si>
  <si>
    <t>д. Москакасы, ул. Зеленая, 
д. 1</t>
  </si>
  <si>
    <t>с. Большой Сундырь, 
ул. Новая,  д. 14</t>
  </si>
  <si>
    <t>с. Порецкое, 
ул. Комсомольская, д. 6</t>
  </si>
  <si>
    <t>с. Богатырево, 
ул. Восточная, д. 1</t>
  </si>
  <si>
    <t>с. Игорвары, 
ул. Молодежная, д. 6</t>
  </si>
  <si>
    <t>с. Игорвары, 
ул. Молодежная, д. 8</t>
  </si>
  <si>
    <t>г. Новочебоксарск, 
ул. 10 Пятилетки, д. 46</t>
  </si>
  <si>
    <t>г. Чебоксары, 
просп. И.Я. Яковлева, 
д. 10, корп. 1</t>
  </si>
  <si>
    <t>г. Чебоксары, 
просп. И.Я. Яковлева, 
д. 8, корп. 1</t>
  </si>
  <si>
    <t>ремонт систем электроснабжения,  холодного водоснабжения</t>
  </si>
  <si>
    <t xml:space="preserve">ремонт крыши                                               </t>
  </si>
  <si>
    <t>ремонт крыши,  системы теплоснабжения, замена узлов управления и регулирования потребления 
тепловой энергии</t>
  </si>
  <si>
    <t>ремонт крыши, систем  водоотведения, теплоснабжения</t>
  </si>
  <si>
    <t xml:space="preserve">г. Чебоксары, ул. Ленинского Комсомола, д. 48
</t>
  </si>
  <si>
    <t>г. Чебоксары, просп. Ленина, д. 1</t>
  </si>
  <si>
    <t>г. Чебоксары, просп. Ленина, д. 17</t>
  </si>
  <si>
    <t>г. Чебоксары, просп. Ленина, д. 24</t>
  </si>
  <si>
    <t>г. Чебоксары, просп. Ленина, д. 30</t>
  </si>
  <si>
    <t>г. Чебоксары, просп. Ленина, д. 39</t>
  </si>
  <si>
    <t>г. Чебоксары, просп. Ленина, д. 57</t>
  </si>
  <si>
    <t>г. Чебоксары, бульвар Президентский, д. 1/15</t>
  </si>
  <si>
    <t>г. Чебоксары, ул. Ярославская, д. 42</t>
  </si>
  <si>
    <t>г. Чебоксары, ул. Ивана Франко, д. 14</t>
  </si>
  <si>
    <t xml:space="preserve">ремонт систем холодного водоснабжения, горячего водоснабжения, водоотведения </t>
  </si>
  <si>
    <t>\</t>
  </si>
  <si>
    <t>2019 год</t>
  </si>
  <si>
    <t>г. Чебоксары, просп. Ленина, д. 11</t>
  </si>
  <si>
    <t>г. Чебоксары, 
ул. К. Маркса, д. 31А</t>
  </si>
  <si>
    <t>ремонт систем горячего водоснабжения,  холодного водоснабжения, водоотведения</t>
  </si>
  <si>
    <t>г. Ядрин, ул. Плеханова, д. 19</t>
  </si>
  <si>
    <t>ремонт системы горячего водоснабжения</t>
  </si>
  <si>
    <t>г. Канаш, ул. К. Маркса, 
д. 8</t>
  </si>
  <si>
    <t>г. Канаш, ул. К. Маркса, д. 8</t>
  </si>
  <si>
    <t xml:space="preserve"> ремонт крыши,  замена лифтов, ремонт машинных и блочных помещений
</t>
  </si>
  <si>
    <t>г. Чебоксары, ул. 50 лет Октября, д. 12</t>
  </si>
  <si>
    <t>г. Чебоксары, ул. Мичмана Павлова, д. 6</t>
  </si>
  <si>
    <t>ремонт систем холодного водоснабжения, горячего водоснабжения</t>
  </si>
  <si>
    <t>ремонт системы холодного водоснабжения</t>
  </si>
  <si>
    <t>г. Шумерля, ул. Щорса, д. 2</t>
  </si>
  <si>
    <t xml:space="preserve">г.   Шумерля </t>
  </si>
  <si>
    <t>Итого: 4  дома</t>
  </si>
  <si>
    <t>Итого: 2 дома</t>
  </si>
  <si>
    <t>г. Канаш, ул. Фрунзе, д. 9</t>
  </si>
  <si>
    <t>101</t>
  </si>
  <si>
    <t>102</t>
  </si>
  <si>
    <t>103</t>
  </si>
  <si>
    <t>104</t>
  </si>
  <si>
    <t>ремонт крыши, системы теплоснабжения, замена узлов управления и регулирования потребления тепловой энергии</t>
  </si>
  <si>
    <t>г. Чебоксары, ул. Гузовского, д. 20</t>
  </si>
  <si>
    <t>г. Чебоксары, ул. Энтузиастов, д. 7, корп. 2</t>
  </si>
  <si>
    <t>г. Чебоксары,
ул. Ленинградская, д. 16</t>
  </si>
  <si>
    <t>г. Чебоксары,
ул. Ленинградская, д. 21</t>
  </si>
  <si>
    <t>г. Чебоксары,
ул. Ленинградская, д. 24</t>
  </si>
  <si>
    <t>г. Чебоксары, 
ул. Ленинградская, д. 26</t>
  </si>
  <si>
    <t xml:space="preserve">г. Чебоксары,
ул. Ленинградская, д. 27
</t>
  </si>
  <si>
    <t>ремонт подвальных помещений, фасада</t>
  </si>
  <si>
    <t>ремонт систем холодного водоснабжения,  водоотведения, электроснабжения, теплоснабжения, замена узлов управления и регулирования потребления тепловой энергии</t>
  </si>
  <si>
    <t>ремонт систем водоотведения, холодного водоснабжения</t>
  </si>
  <si>
    <t>ремонт систем электроснабжения,  водоотведения, холодного водоснабжения</t>
  </si>
  <si>
    <t xml:space="preserve"> ремонт системы  водоотведения</t>
  </si>
  <si>
    <t>ремонт систем  водоотведения, электроснабжения</t>
  </si>
  <si>
    <t>ремонт систем  водоотведения, холодного водоснабжения,  электроснабжения, теплоснабжения, замена узлов управления и регулирования потребления тепловой энергии</t>
  </si>
  <si>
    <t>ремонт систем холодного водоснабжения, электроснабжения,  водоотведения</t>
  </si>
  <si>
    <t>ремонт систем электроснабжения, водоотведения, холодного водоснабжения</t>
  </si>
  <si>
    <t>ремонт систем холодного водоснабжения, горячего водоснабжения, водоотведения</t>
  </si>
  <si>
    <t>ремонт крыши, 
систем 
холодного водоснабжения, водоотведения, теплоснабжения, замена узлов управления и регулирования потребления 
тепловой энергии</t>
  </si>
  <si>
    <t>ремонт крыши, 
систем 
электроснабжения, холодного водоснабжения, теплоснабжения, замена узлов управления и регулирования потребления 
тепловой энергии</t>
  </si>
  <si>
    <t>с. Красноармейское,                  ул. Васильева, д. 1</t>
  </si>
  <si>
    <t>с. Красноармейское,                   ул. Ленина, д. 26</t>
  </si>
  <si>
    <t>г. Новочебоксарск, 
пер. Химиков, д. 8</t>
  </si>
  <si>
    <t>ремонт фасада</t>
  </si>
  <si>
    <t>с. Юськасы, ул. Совхозная,                            д. 1</t>
  </si>
  <si>
    <t>с. Шоршелы, ул. 30 лет Победы, д. 6</t>
  </si>
  <si>
    <t>г. Мариинский Посад,                             ул. Ломоносова, д. 1</t>
  </si>
  <si>
    <t>с. Аликово, ул. Парковая, д. 9</t>
  </si>
  <si>
    <t>г. Ядрин, ул. 50 лет Октября, д. 66</t>
  </si>
  <si>
    <t>г. Ядрин, ул. 50 лет Октября, д. 71б</t>
  </si>
  <si>
    <t>переустройство плоской крыши на скатную</t>
  </si>
  <si>
    <t>с. Красноармейское,                   ул. Ленина д. 26</t>
  </si>
  <si>
    <t>пгт Кугеси, ул. Новой Конституции, д. 5</t>
  </si>
  <si>
    <t>пгт Кугеси, ул. Новой Конституции, д. 4</t>
  </si>
  <si>
    <t>пгт Кугеси, ул. Новой Конституции, д. 5а</t>
  </si>
  <si>
    <t>пос. Новое Атлашево, 
ул. Парковая, д. 3</t>
  </si>
  <si>
    <t>Итого:  27 домов</t>
  </si>
  <si>
    <t>2 580,22</t>
  </si>
  <si>
    <t>г. Алатырь, мкр. Стрелка, д. 1</t>
  </si>
  <si>
    <t>г. Алатырь, ул. Ленина, д. 43</t>
  </si>
  <si>
    <t>г. Алатырь, мкр. Стрелка, д. 3</t>
  </si>
  <si>
    <t>г. Алатырь, мкр. Стрелка,                         д. 1</t>
  </si>
  <si>
    <t>г. Алатырь, мкр. Стрелка,                                 д. 3</t>
  </si>
  <si>
    <t>г. Канаш, просп. Ленина, д. 44</t>
  </si>
  <si>
    <t xml:space="preserve">панель </t>
  </si>
  <si>
    <t>1 224,10</t>
  </si>
  <si>
    <t>г. Новочебоксарск, бульвар  Зеленый, д. 18</t>
  </si>
  <si>
    <t xml:space="preserve"> ремонт крыши</t>
  </si>
  <si>
    <t>г. Новочебоксарск, бульвар  Зеленый, д. 1а</t>
  </si>
  <si>
    <t>г. Новочебоксарск, бульвар  Зеленый, д. 22</t>
  </si>
  <si>
    <t>Итого: 5 домов</t>
  </si>
  <si>
    <t>Итого: 9  домов</t>
  </si>
  <si>
    <t>Итого: 14 домов</t>
  </si>
  <si>
    <t xml:space="preserve">Итого: 6  домов </t>
  </si>
  <si>
    <t>Итого:  40  домов</t>
  </si>
  <si>
    <t>с. Моргауши, ул. 50 лет Октября, д. 40</t>
  </si>
  <si>
    <t>д. Москакасы, ул.Зеленая, д. 1</t>
  </si>
  <si>
    <t>с. Моргауши, ул. 50 лет Октября, д. 22</t>
  </si>
  <si>
    <t>с. Моргауши, ул. 50 лет Октября, д. 42</t>
  </si>
  <si>
    <t>с. Ишлеи, ул. Советская, д. 70</t>
  </si>
  <si>
    <t>с. Ишлеи, ул. Советская, д. 72</t>
  </si>
  <si>
    <t>пгт Кугеси, ул. Шоршелская, д. 3</t>
  </si>
  <si>
    <t>пос. Сюктерка, ул. Волжские Зори, д. 1а</t>
  </si>
  <si>
    <t>пгт Кугеси, ул. Первомайская, д. 17</t>
  </si>
  <si>
    <t>ремонт систем холодного водоснабжения, теплоснабжения</t>
  </si>
  <si>
    <t>ремонт систем  водоотведения,  электроснабжения</t>
  </si>
  <si>
    <t>д. Челкумаги, ул. Гагарина, д. 5</t>
  </si>
  <si>
    <t xml:space="preserve">ремонт крыши  </t>
  </si>
  <si>
    <t>ремонт систем  водоотведения, холодного водоснабжения</t>
  </si>
  <si>
    <t>с. Шихазаны, ул. 40 лет Победы, д. 1</t>
  </si>
  <si>
    <t xml:space="preserve">ремонт крыши            </t>
  </si>
  <si>
    <t>ремонт систем водоотведения,  холодного водоснабжения</t>
  </si>
  <si>
    <t>с. Шихазаны, ул. 40 лет Победы, д. 9</t>
  </si>
  <si>
    <t>г. Чебоксары, 
просп. Ленина, д. 29</t>
  </si>
  <si>
    <t>г. Чебоксары, 
просп. Ленина, д. 32</t>
  </si>
  <si>
    <t>г. Чебоксары, 
просп. Ленина, д. 34</t>
  </si>
  <si>
    <t>г. Чебоксары, 
просп. Ленина, д. 34А</t>
  </si>
  <si>
    <t>г. Чебоксары, 
просп. Ленина, д. 35</t>
  </si>
  <si>
    <t>г. Чебоксары, 
просп. Ленина, д. 36</t>
  </si>
  <si>
    <t>г. Чебоксары, 
просп. Ленина, д. 42</t>
  </si>
  <si>
    <t>г. Чебоксары, 
просп. Ленина, д. 44</t>
  </si>
  <si>
    <t>г. Чебоксары, 
просп. Ленина, д. 46</t>
  </si>
  <si>
    <t>г. Цивильск, ул. Гоголя, 
д. 9</t>
  </si>
  <si>
    <t>д. Михайловка, ул. Чапаева, 
д. 27</t>
  </si>
  <si>
    <t>д. Михайловка, ул. Чапаева, 
д. 21</t>
  </si>
  <si>
    <t>с. Чурачики, ул. Заводская, 
д. 2</t>
  </si>
  <si>
    <t>с. Чурачики, ул. Заводская, 
д. 3</t>
  </si>
  <si>
    <t>с. Чурачики, ул. Заводская, 
д. 9</t>
  </si>
  <si>
    <t>с. Ишлеи, ул. Советская, 
д. 47</t>
  </si>
  <si>
    <t>г. Чебоксары, 
ул. 139 Стрелковой дивизии, 
д. 16</t>
  </si>
  <si>
    <t>с. Первое Чурашево, 
ул. Школьная, д. 7а</t>
  </si>
  <si>
    <t>г. Новочебоксарск, 
ул. Ж. Крутовой, д. 14</t>
  </si>
  <si>
    <t>г. Новочебоксарск, 
ул. Ж. Крутовой, д. 16</t>
  </si>
  <si>
    <t>г. Новочебоксарск, 
ул. Ж. Крутовой, д. 6</t>
  </si>
  <si>
    <t>г. Шумерля, ул. Ленина,   
д. 12</t>
  </si>
  <si>
    <t>г. Чебоксары, ул. Энгельса, 
д. 18</t>
  </si>
  <si>
    <t>г. Чебоксары, ул. Чапаева, 
д. 22</t>
  </si>
  <si>
    <t>г. Чебоксары, ул. Чапаева, 
д. 5</t>
  </si>
  <si>
    <t>г. Чебоксары, ул. Космонавта Николаева А.Г., д. 3</t>
  </si>
  <si>
    <t>пгт Вурнары, 
ул. Чернышевского, д. 4</t>
  </si>
  <si>
    <t>ремонт  крыши, системы электроснабжения</t>
  </si>
  <si>
    <t>пгт Вурнары, 
пер. Тракторный, д. 14</t>
  </si>
  <si>
    <t>пгт Вурнары, пер. Зеленый, 
д. 12</t>
  </si>
  <si>
    <t>пгт Вурнары, ул. К. Маркса, 
д. 2</t>
  </si>
  <si>
    <t>пгт Вурнары, 
ул. Строительная, д. 9</t>
  </si>
  <si>
    <t>ремонт крыши, 
систем холодного водоснабжения,  водоотведения</t>
  </si>
  <si>
    <t>с. Шихазаны, ул. 40 лет Победы, д. 7</t>
  </si>
  <si>
    <t>г. Козловка, ул. Лобачевского, д. 20</t>
  </si>
  <si>
    <t>г. Козловка, ул. Герцена, д. 10</t>
  </si>
  <si>
    <t>5 365,47</t>
  </si>
  <si>
    <t>с. Красноармейское, 
ул. Васильева, д. 17</t>
  </si>
  <si>
    <t>с. Красноармейское, 
ул. Г. Степанова, д. 17</t>
  </si>
  <si>
    <t>с. Красные Четаи,
ул. 1-я Заводская, д. 59</t>
  </si>
  <si>
    <t>г. Мариинский Посад, 
ул. Курчатова, д. 7</t>
  </si>
  <si>
    <t>ремонт систем холодного водоснабжения, водоотведения, электроснабжения</t>
  </si>
  <si>
    <t>д. Малое Камаево, 
ул. Лесная, д. 2</t>
  </si>
  <si>
    <t>с. Моргауши, ул. Гагарина, 
д. 20</t>
  </si>
  <si>
    <t>с. Моргауши, ул. Гагарина, 
д. 8</t>
  </si>
  <si>
    <t>с. Моргауши, ул. Красная Площадь, д. 4</t>
  </si>
  <si>
    <t>пгт Урмары, ул. Ленина, д. 51</t>
  </si>
  <si>
    <t>пгт Урмары, ул. Ленина, д. 35</t>
  </si>
  <si>
    <t>пгт Урмары, ул. Порфирьева, д. 4</t>
  </si>
  <si>
    <t>г. Цивильск, ул. Северная, 
д. 6</t>
  </si>
  <si>
    <t>пгт Кугеси, ул. Геологическая, д. 3</t>
  </si>
  <si>
    <t>пгт Кугеси, ул. К. Маркса, 
д. 110</t>
  </si>
  <si>
    <t>пгт Кугеси, ул. Первомайская, д. 1</t>
  </si>
  <si>
    <t>пгт  Кугеси, ул. Советская, 
д. 59</t>
  </si>
  <si>
    <t>ремонт системы  холодного водоснабжения</t>
  </si>
  <si>
    <t>пгт Кугеси, ул. Советская, 
д. 62а</t>
  </si>
  <si>
    <t>пгт Кугеси, ул. Советская, 
д. 64а</t>
  </si>
  <si>
    <t>пгт Кугеси, ул. Тепличная, 
д. 6</t>
  </si>
  <si>
    <t>пгт Кугеси, ул. Тепличная, 
д. 8</t>
  </si>
  <si>
    <t>пос. Сюктерка, ул. Главная, 
д. 2</t>
  </si>
  <si>
    <t>пос. Новое Атлашево, 
ул. Набережная, д. 3</t>
  </si>
  <si>
    <t>пос. Новое Атлашево, 
ул. Набережная, д. 19</t>
  </si>
  <si>
    <t>пос. Новое Атлашево, 
ул. Набережная, д. 23</t>
  </si>
  <si>
    <t>с. Ишлеи, ул. Садовая, д. 1</t>
  </si>
  <si>
    <t>ремонт системы  горячего водоснабжения</t>
  </si>
  <si>
    <t>д. Новые Тренькасы, 
ул. 12-й  Пятилетки, д. 1</t>
  </si>
  <si>
    <t>д. Новые Тренькасы, 
ул. 12-й  Пятилетки, д. 4</t>
  </si>
  <si>
    <t>г. Ядрин, ул. Чапаева, д. 18</t>
  </si>
  <si>
    <t>ремонт крыши, 
систем 
водоотведения, холодного водоснабжения</t>
  </si>
  <si>
    <t xml:space="preserve">г. Ядрин, ул. Тимирязева, 
д. 20 </t>
  </si>
  <si>
    <t>с. Яльчики, ул. Октябрьская, д. 26</t>
  </si>
  <si>
    <t>с. Янтиково, 
ул. Строительная, д. 4</t>
  </si>
  <si>
    <t>с. Янтиково, тер. РТП, д. 30</t>
  </si>
  <si>
    <t>ремонт (утепление) фасада, системы электроснабжения, замена узлов управления и регулирования потребления тепловой энергии</t>
  </si>
  <si>
    <t>ремонт системы  водоотведения, подвальных помещений, замена  узлов управления и регулирования потребления тепловой энергии и горячей воды</t>
  </si>
  <si>
    <t>г. Канаш, мкр. Восточный, 
д. 2</t>
  </si>
  <si>
    <t>г. Чебоксары, ул. Бондарева, 
д. 15</t>
  </si>
  <si>
    <t>г. Чебоксары, ул. К. Маркса, 
д. 17/12</t>
  </si>
  <si>
    <t>г. Чебоксары, ул. К. Маркса, 
д. 24</t>
  </si>
  <si>
    <t>г. Чебоксары, ул. К. Маркса, 
д. 31А</t>
  </si>
  <si>
    <t>г. Чебоксары, ул. К. Маркса, 
д. 35</t>
  </si>
  <si>
    <t>г. Чебоксары, ул. К. Маркса, 
д. 51</t>
  </si>
  <si>
    <t>ремонт крыши, систем  холодного водоснабжения, водоотведения</t>
  </si>
  <si>
    <t>г. Ядрин, ул. 30 лет Победы, 
д. 19</t>
  </si>
  <si>
    <t>г. Ядрин, ул. 30 лет Победы, 
д. 21</t>
  </si>
  <si>
    <t>г. Ядрин, ул. 30 лет Победы, 
д. 30</t>
  </si>
  <si>
    <t>г. Ядрин, ул. Герцена, 
д. 18а</t>
  </si>
  <si>
    <t>г. Чебоксары, ул. К. Маркса, 
д. 33</t>
  </si>
  <si>
    <t>г. Чебоксары, ул. К. Маркса, 
д. 42</t>
  </si>
  <si>
    <t>г. Чебоксары, ул. К. Маркса, 
д. 62</t>
  </si>
  <si>
    <t xml:space="preserve"> г. Чебоксары, ул. Крупской, 
д. 5</t>
  </si>
  <si>
    <t>пгт Вурнары, ул. Ашмарова, 
д. 15</t>
  </si>
  <si>
    <t>с. Красноармейское, 
ул. Г. Степанова, д. 19</t>
  </si>
  <si>
    <t>г. Ядрин, ул. 30 лет Победы, 
д. 13</t>
  </si>
  <si>
    <t>г. Ядрин, ул. 30 лет Победы, 
д. 15</t>
  </si>
  <si>
    <t>г. Алатырь, ул. Мичурина, 
д. 23</t>
  </si>
  <si>
    <t>г. Алатырь, мкр. Стрелка, 
д. 22</t>
  </si>
  <si>
    <t>г. Алатырь, ул. Советская,  
д. 37</t>
  </si>
  <si>
    <t>г. Алатырь, ул. Московская, 
д. 125</t>
  </si>
  <si>
    <t>г. Канаш, 
ул. Машиностроителей, д. 30</t>
  </si>
  <si>
    <t>г. Канаш, 
ул. Машиностроителей, д. 28</t>
  </si>
  <si>
    <t>г. Канаш, 
ул. Машиностроителей, д. 20</t>
  </si>
  <si>
    <t>г. Канаш, ул. Л. Толстого, 
д. 13</t>
  </si>
  <si>
    <t>г. Чебоксары, ул. К. Маркса, 
д. 44</t>
  </si>
  <si>
    <t>г. Чебоксары, 
ул. Гражданская, д. 52</t>
  </si>
  <si>
    <t>г. Чебоксары, просп. Мира, 
д. 25</t>
  </si>
  <si>
    <t>г. Чебоксары, 
ул. Социалистическая, д. 21</t>
  </si>
  <si>
    <t>г. Чебоксары, 
ул. Гражданская, д. 92</t>
  </si>
  <si>
    <t>г. Чебоксары, ул. Энгельса, 
д. 3</t>
  </si>
  <si>
    <t>г. Чебоксары, ул. Эльменя, 
д. 22</t>
  </si>
  <si>
    <t xml:space="preserve"> г. Чебоксары, ул. Чапаева, 
д. 9, корп. 1</t>
  </si>
  <si>
    <t>г. Чебоксары, ул. Энгельса, 
д. 19</t>
  </si>
  <si>
    <t>г. Чебоксары, 
ул. О. Беспалова, д. 4</t>
  </si>
  <si>
    <t>г. Чебоксары, 
ул. Социалистическая, д. 15</t>
  </si>
  <si>
    <t>г. Чебоксары, ул. Гузовского, д. 15, корп. 1</t>
  </si>
  <si>
    <t>г. Чебоксары, ул. Гузовского, д. 17</t>
  </si>
  <si>
    <t>17</t>
  </si>
  <si>
    <t>г. Чебоксары, ул. Космонавта Николаева А.Г., д. 30, корп. 1</t>
  </si>
  <si>
    <t>г. Чебоксары, ул. Космонавта Николаева А.Г., д. 41</t>
  </si>
  <si>
    <t>г. Чебоксары, ул. Космонавта Николаева А.Г., д. 51, корп. 2</t>
  </si>
  <si>
    <t>9,12</t>
  </si>
  <si>
    <t>г. Чебоксары, ул. Мичмана Павлова, д. 58</t>
  </si>
  <si>
    <t xml:space="preserve">ремонт  систем теплоснабжения, электроснабжения, замена узлов управления и регулирования потребления тепловой энергии </t>
  </si>
  <si>
    <t xml:space="preserve">ремонт систем теплоснабжения,  холодного водоснабжения, замена узлов управления и регулирования потребления тепловой энергии </t>
  </si>
  <si>
    <t>ремонт систем водоотведения, теплоснабжения, холодного водоснабжения, замена узлов управления и регулирования потребления тепловой энергии</t>
  </si>
  <si>
    <t>ремонт систем водоотведения,  теплоснабжения, электроснабжения, холодного водоснабжения, замена узлов управления и регулирования потребления тепловой энергии</t>
  </si>
  <si>
    <t>ремонт крыши, 
систем 
холодного водоснабжения, водоотведения, теплоснабжения</t>
  </si>
  <si>
    <t>ремонт крыши, системы горячего водоснабжения, замена узлов управления и регулирования потребления горячей воды</t>
  </si>
  <si>
    <t>ремонт систем электроснабжения, холодного водоснабжения, теплоснабжения</t>
  </si>
  <si>
    <t>ремонт крыши, 
систем  
водоотведения, холодного водоснабжения, горячего водоснабжения, теплоснабжения, замена узлов управления и регулирования потребления 
тепловой энергии и горячей воды</t>
  </si>
  <si>
    <t>ремонт систем холодного водоснабжения, горячего водоснабжения,  водоотведения, теплоснабжения, замена узлов управления и регулирования потребления 
тепловой энергии и горячей воды</t>
  </si>
  <si>
    <t>ремонт крыши, ремонт систем водоотведения, холодного водоснабжения, горячего водоснабжения, замена узлов управления и регулирования потребления горячей воды</t>
  </si>
  <si>
    <t>ремонт систем  холодного водоснабжения, водоотведения, теплоснабжения</t>
  </si>
  <si>
    <t>ремонт крыши,  системы теплоснабжения</t>
  </si>
  <si>
    <t>ремонт систем водоотведения, электроснабжения, теплоснабжения</t>
  </si>
  <si>
    <t>ремонт систем холодного водоснабжения, водоотведения,  электроснабжения, теплоснабжения</t>
  </si>
  <si>
    <t>ремонт систем водоотведения,  холодного водоснабжения, горячего водоснабжения,  теплоснабжения, замена узлов управления и регулирования потребления горячей воды</t>
  </si>
  <si>
    <t>ремонт систем горячего водоснабжения,  холодного водоснабжения, теплоснабжения</t>
  </si>
  <si>
    <t>ремонт систем водоотведения,  горячего водоснабжения, замена узлов управления и регулирования потребления горячей воды</t>
  </si>
  <si>
    <t>г. Новочебоксарск, 
ул. Комсомольская, д. 11</t>
  </si>
  <si>
    <t>г. Новочебоксарск, 
ул. Комсомольская, д. 15</t>
  </si>
  <si>
    <t>г. Новочебоксарск, 
ул. Комсомольская, д. 3</t>
  </si>
  <si>
    <t>г. Новочебоксарск, 
ул. Коммунистическая, 
д. 35</t>
  </si>
  <si>
    <t>ремонт систем электроснабжения,  водоотведения</t>
  </si>
  <si>
    <t>г. Чебоксары, ул. Ашмарина, д. 10Б</t>
  </si>
  <si>
    <t>2009</t>
  </si>
  <si>
    <t>г. Чебоксары, ул. Ашмарина, д. 2</t>
  </si>
  <si>
    <t>г. Чебоксары, ул. Ашмарина, д. 4</t>
  </si>
  <si>
    <t>г. Чебоксары, ул. Ашмарина, д. 40</t>
  </si>
  <si>
    <t>1958</t>
  </si>
  <si>
    <t>г. Чебоксары, ул. Ашмарина, д. 44</t>
  </si>
  <si>
    <t>г. Чебоксары, ул. Ашмарина, д. 6</t>
  </si>
  <si>
    <t>г. Чебоксары, ул. Богдана Хмельницкого, д. 48, корп. 1</t>
  </si>
  <si>
    <t>3-4</t>
  </si>
  <si>
    <t>г. Чебоксары, ул. Гузовского, д. 24</t>
  </si>
  <si>
    <t>г. Чебоксары, ул. Короленко, д. 10</t>
  </si>
  <si>
    <t>г. Чебоксары, ул. Короленко, д. 12</t>
  </si>
  <si>
    <t xml:space="preserve"> 1965</t>
  </si>
  <si>
    <t>г. Чебоксары, ул. Короленко, д. 14</t>
  </si>
  <si>
    <t xml:space="preserve"> 1971</t>
  </si>
  <si>
    <t>ремонт систем горячего водоснабжения,  теплоснабжения, водоотведения,  холодного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</si>
  <si>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водоотведения,  электроснабжения, холодного водоснабжения,  горячего водоснабжения, замена узлов управления и регулирования потребления горячей воды</t>
  </si>
  <si>
    <t>ремонт систем холодного водоснабжения, водоотведения, теплоснабжения,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</si>
  <si>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холодного водоснабжения,  теплоснабжения,  горячего водоснабжения, 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</si>
  <si>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холодного водоснабжения, горячего водоснабжения,  водоотведения, теплоснабжения,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</si>
  <si>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t>ремонт систем холодного водоснабжения,  горячего водоснабжения, водоотведения, теплоснабжения,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</si>
  <si>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пгт Сосновка, 
ул. Сосновская, д. 69</t>
  </si>
  <si>
    <t>ремонт систем горячего водоснабжения, водоотведения, холодного водоснабжения, замена узлов управления и регулирования потребления 
горячей воды</t>
  </si>
  <si>
    <t>ремонт систем холодного водоснабжения, теплоснабжения,  водоотведения, горячего водоснабжения, замена узлов управления и регулирования потребления тепловой энергии, замена узлов управления и регулирования потребления 
горячей воды</t>
  </si>
  <si>
    <t xml:space="preserve">ремонт крыши,  систем холодного водоснабжения, теплоснабжения, электроснабжения </t>
  </si>
  <si>
    <t>г. Чебоксары,
просп. Максима Горького, 
д. 25</t>
  </si>
  <si>
    <t>ремонт систем  водоотведения, теплоснабжения, замена узлов управления и регулирования потребления 
тепловой энергии</t>
  </si>
  <si>
    <t>ремонт систем теплоснабжения,  водоотведения,  электроснабжения, замена узлов управления и регулирования потребления 
тепловой энергии</t>
  </si>
  <si>
    <t>с. Юнга, ул. Центральная, 
д. 35</t>
  </si>
  <si>
    <t>с. Большой Сундырь, 
ул. Новая,  д. 1</t>
  </si>
  <si>
    <t>г. Чебоксары, ул. Богдана Хмельницкого, д. 72</t>
  </si>
  <si>
    <t>г. Чебоксары, ул. Гузовского, д. 30</t>
  </si>
  <si>
    <t>г. Чебоксары, ул. Ивана Франко, д. 15</t>
  </si>
  <si>
    <t>г. Чебоксары, ул. Космонавта Николаева А.Г., д. 16</t>
  </si>
  <si>
    <t>г. Чебоксары, ул. Ленинского Комсомола, д. 44</t>
  </si>
  <si>
    <t>г. Чебоксары, ул. Мичмана Павлова, д. 4, корп. 1</t>
  </si>
  <si>
    <t>г. Чебоксары, ул. Плеханова, д. 11/16</t>
  </si>
  <si>
    <t>г. Чебоксары, ул. Рихарда Зорге, д. 1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</si>
  <si>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</si>
  <si>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</si>
  <si>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</si>
  <si>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7</t>
  </si>
  <si>
    <t>г. Чебоксары, ул. Шумилова, д. 23</t>
  </si>
  <si>
    <t>г. Чебоксары, ул. Шумилова, д. 27</t>
  </si>
  <si>
    <t>г. Чебоксары, ул. Шумилова, д. 31</t>
  </si>
  <si>
    <t>ремонт крыши, фасада, системы электроснабжения</t>
  </si>
  <si>
    <t>с. Порецкое, ул. Ульянова, 
д. 139</t>
  </si>
  <si>
    <t>пгт Урмары, ул. Заводская, 
д. 27</t>
  </si>
  <si>
    <t>пгт Урмары, ул. Заводская, 
д. 45</t>
  </si>
  <si>
    <t>д. Таушкасы, ул. Школьная, 
д. 7А</t>
  </si>
  <si>
    <t>с. Чурачики, ул. Заводская, 
д. 12</t>
  </si>
  <si>
    <t>с. Чурачики, ул. Заводская, 
д. 4</t>
  </si>
  <si>
    <t>д. Чиршкасы (Сирмапосинского с/п), 
ул. 11  Пятилетки, д. 2</t>
  </si>
  <si>
    <t>пгт Кугеси, ул. Шоссейная, 
д. 2а</t>
  </si>
  <si>
    <t>пос. Новое Атлашево, 
ул. 70 лет Октября, д. 3</t>
  </si>
  <si>
    <t>г. Канаш, пер. Спортивный, 
д. 2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</si>
  <si>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</si>
  <si>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</si>
  <si>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</si>
  <si>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</si>
  <si>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</si>
  <si>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</si>
  <si>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</si>
  <si>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</si>
  <si>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</si>
  <si>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</si>
  <si>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</si>
  <si>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ремонт крыши, подвальных помещений, систем электроснабжения, водоотведения</t>
  </si>
  <si>
    <t>ремонт систем теплоснабжения, холодного водоснабжения, горячего водоснабжения, водоотведения, 
замена узлов 
управления и
 регулирования потребления 
тепловой энергии, замена узлов управления и регулирования потребления 
горячей воды</t>
  </si>
  <si>
    <t>г. Мариинский Посад, 
ул. Лазо, д. 69а</t>
  </si>
  <si>
    <t>с. Шихазаны, 
ул. В.П. Епифанова, д. 8</t>
  </si>
  <si>
    <t>г. Новочебоксарск, 
ул. Винокурова, д. 7</t>
  </si>
  <si>
    <t>г. Чебоксары, 
ул. Университетская, д. 20, корп. 1</t>
  </si>
  <si>
    <t>Способ формиро-
вания фонда капиталь-
ного ремонта</t>
  </si>
  <si>
    <t>кирпич</t>
  </si>
  <si>
    <t>Урмарский район</t>
  </si>
  <si>
    <t>Канашский  район</t>
  </si>
  <si>
    <t>Козловский  район</t>
  </si>
  <si>
    <t>Канашский район</t>
  </si>
  <si>
    <t xml:space="preserve"> </t>
  </si>
  <si>
    <t>Итого по району</t>
  </si>
  <si>
    <t>Козловский район</t>
  </si>
  <si>
    <t>Цивильский  район</t>
  </si>
  <si>
    <t>Батыревский  район</t>
  </si>
  <si>
    <t>ремонт системы электроснабжения</t>
  </si>
  <si>
    <t>Цивильский район</t>
  </si>
  <si>
    <t>ремонт крыши, 
систем 
холодного водоснабжения,  теплоснабжения,  горячего водоснабжения,   водоотведения, 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</si>
  <si>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r>
      <rPr>
        <sz val="13"/>
        <rFont val="Times New Roman"/>
        <family val="1"/>
      </rPr>
      <t>Приложение № 1
к постановлению Кабинета Министров 
Чувашской Республики 
от 11.07.2022   № 328</t>
    </r>
    <r>
      <rPr>
        <sz val="13"/>
        <color indexed="9"/>
        <rFont val="Times New Roman"/>
        <family val="1"/>
      </rPr>
      <t xml:space="preserve">  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           </t>
    </r>
  </si>
  <si>
    <r>
      <t xml:space="preserve">Приложение № 2
к постановлению Кабинета Министров 
Чувашской Республики
от </t>
    </r>
    <r>
      <rPr>
        <sz val="11"/>
        <rFont val="Times New Roman"/>
        <family val="1"/>
      </rPr>
      <t>11.07.2022   № 328</t>
    </r>
    <r>
      <rPr>
        <sz val="11"/>
        <color indexed="9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     </t>
    </r>
  </si>
  <si>
    <t>г. Алатырь, ул. Московская, 
д. 120</t>
  </si>
  <si>
    <t>ремонт системы теплоснабжения, замена узлов управления и регулирования потребления 
тепловой энергии</t>
  </si>
  <si>
    <t>ремонт систем  водоотведения, электроснабжения, теплоснабжения, замена узлов управления и регулирования потребления 
тепловой энергии</t>
  </si>
  <si>
    <t>ремонт крыши, 
систем
водоотведения, электроснабжения, холодного водоснабжения</t>
  </si>
  <si>
    <t>ремонт крыши, 
систем
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</si>
  <si>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холодного водоснабжения, горячего водоснабжения,  водоотведения, теплоснабжения, замена узлов управления и регулирования потребления 
тепловой энергии</t>
  </si>
  <si>
    <t>ремонт крыши, ремонт систем электроснабжения,  теплоснабжения, замена узлов управления и регулирования потребления 
тепловой энергии</t>
  </si>
  <si>
    <t>ремонт систем холодного водоснабжения,  водоотведения, теплоснабжения, замена узлов управления и регулирования потребления 
тепловой энергии</t>
  </si>
  <si>
    <t>ремонт систем  водоотведения, электроснабжения, холодного водоснабжения, теплоснабжения, замена узлов управления и регулирования потребления 
тепловой энергии</t>
  </si>
  <si>
    <t>ремонт крыши,  систем электроснабжения, горячего водоснабжения, холодного водоснабжения, теплоснабжения, замена узлов управления и регулирования потребления 
тепловой энергии</t>
  </si>
  <si>
    <t>ремонт систем электроснабжения,  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</si>
  <si>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электроснабжения, горячего водоснабжения,  водоотведения, теплоснабжения, замена узлов управления и регулирования потребления 
тепловой энергии</t>
  </si>
  <si>
    <t>г. Цивильск, ул. Никитина, 
д. 10</t>
  </si>
  <si>
    <t>пос. Новое Атлашево, 
ул. Парковая, д. 7</t>
  </si>
  <si>
    <t>г. Чебоксары, просп. Ленина, д. 3</t>
  </si>
  <si>
    <t>1950</t>
  </si>
  <si>
    <t>г. Чебоксары, просп. Ленина, д. 52</t>
  </si>
  <si>
    <t>1964</t>
  </si>
  <si>
    <t>г. Чебоксары, бульвар Купца Ефремова, д.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</si>
  <si>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</si>
  <si>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</si>
  <si>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</si>
  <si>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</si>
  <si>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</si>
  <si>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</si>
  <si>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пер. Заводской, д. 4</t>
  </si>
  <si>
    <t>1960</t>
  </si>
  <si>
    <t>г. Чебоксары, просп. 9-й Пятилетки, д. 2А</t>
  </si>
  <si>
    <t>1975</t>
  </si>
  <si>
    <t>г. Чебоксары, просп. 9-й Пятилетки, д. 4А</t>
  </si>
  <si>
    <t>1974</t>
  </si>
  <si>
    <t>1973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</si>
  <si>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</si>
  <si>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</si>
  <si>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</si>
  <si>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</si>
  <si>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1963</t>
  </si>
  <si>
    <t>г. Чебоксары, просп. Ленина, д. 34</t>
  </si>
  <si>
    <t>г. Чебоксары, просп. Ленина, д. 34А</t>
  </si>
  <si>
    <t xml:space="preserve"> 1963</t>
  </si>
  <si>
    <t>г. Чебоксары, просп. Ленина, д. 35</t>
  </si>
  <si>
    <t>2013</t>
  </si>
  <si>
    <t>г. Чебоксары, просп. Ленина, д. 36</t>
  </si>
  <si>
    <t>1959</t>
  </si>
  <si>
    <t>г. Чебоксары, просп. Ленина, д. 42</t>
  </si>
  <si>
    <t>г. Канаш, ул. Московская, 
д. 15</t>
  </si>
  <si>
    <t>г. Шумерля, 
ул. Интернациональная, 
д. 12</t>
  </si>
  <si>
    <t>г. Шумерля, 
ул. Интернациональная, 
д. 16</t>
  </si>
  <si>
    <t>г. Шумерля, 
ул. Интернациональная, 
д. 31</t>
  </si>
  <si>
    <t>г. Чебоксары, 
бульвар Эгерский, 
д. 22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</si>
  <si>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</si>
  <si>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ст. Тюрлема, ул. Ленина, 
д. 3</t>
  </si>
  <si>
    <t>ст. Тюрлема, ул. Ленина, 
д. 4</t>
  </si>
  <si>
    <t>ст. Тюрлема, ул. Ленина, 
д. 7</t>
  </si>
  <si>
    <t>ст. Тюрлема, ул. Ленина, 
д. 8</t>
  </si>
  <si>
    <t>г. Козловка, ул. Чкалова, 
д. 10</t>
  </si>
  <si>
    <t>г. Алатырь, ул. Полевая,  
д. 20</t>
  </si>
  <si>
    <t>г. Канаш, просп. Ленина, 
д. 13</t>
  </si>
  <si>
    <t>г. Канаш, просп. Ленина, 
д. 34</t>
  </si>
  <si>
    <t xml:space="preserve"> г. Чебоксары, 
ул. Ленинского Комсомола, 
д. 48</t>
  </si>
  <si>
    <t>г. Чебоксары, 
пос. Восточный, д. 19</t>
  </si>
  <si>
    <t>г. Чебоксары, 
ул. Ленинского Комсомола, 
д. 10</t>
  </si>
  <si>
    <t>г. Чебоксары, ул. Байдула, 
д. 5</t>
  </si>
  <si>
    <t>г. Чебоксары, 
ул. Социалистическая, 
д. 21</t>
  </si>
  <si>
    <t>г. Чебоксары, 
ул. Ленинского Комсомола, 
д. 46</t>
  </si>
  <si>
    <t>г. Чебоксары, 
ул. Гагарина Ю., д. 47</t>
  </si>
  <si>
    <t>г. Чебоксары, 
ул. Гузовского, д. 22</t>
  </si>
  <si>
    <t>г. Чебоксары, 
ул. Декабристов, д. 12</t>
  </si>
  <si>
    <t>г. Чебоксары, 
ул. Пролетарская, д. 28</t>
  </si>
  <si>
    <t>г. Чебоксары, 
ул. Космонавта 
Николаева А.Г., д. 38</t>
  </si>
  <si>
    <t>г. Чебоксары, 
ул. Ленинского Комсомола, 
д. 36</t>
  </si>
  <si>
    <t>г. Чебоксары, 
ул. Социалистическая, 
д. 15</t>
  </si>
  <si>
    <t>г. Канаш, ул. Пушкина, д. 32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</si>
  <si>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</si>
  <si>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</si>
  <si>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</si>
  <si>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</si>
  <si>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</si>
  <si>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шлако-блочный</t>
  </si>
  <si>
    <t>г. Канаш, ул. Южная, д. 8</t>
  </si>
  <si>
    <t>г. Канаш, ул. 30 лет Чувашии, д. 8</t>
  </si>
  <si>
    <t>г. Канаш, ул. К. Маркса, д. 7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</si>
  <si>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</si>
  <si>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</si>
  <si>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</si>
  <si>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</si>
  <si>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</si>
  <si>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</si>
  <si>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</si>
  <si>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</si>
  <si>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</si>
  <si>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</si>
  <si>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</si>
  <si>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Канаш, ул. 30 лет Чувашии, д. 9</t>
  </si>
  <si>
    <t xml:space="preserve">ремонт крыши,  систем холодного водоснабжения, теплоснабжения </t>
  </si>
  <si>
    <t>с. Шемурша, ул. Космовского, д. 11</t>
  </si>
  <si>
    <t>ремонт крыши, системы водоотведения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</si>
  <si>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</si>
  <si>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</si>
  <si>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</si>
  <si>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ремонт крыши</t>
  </si>
  <si>
    <t>Итого: 3 дома</t>
  </si>
  <si>
    <t>Итого: 2  дома</t>
  </si>
  <si>
    <t>Общая площадь многоквар-тирного дома</t>
  </si>
  <si>
    <t>21</t>
  </si>
  <si>
    <t>панель</t>
  </si>
  <si>
    <t>Яльчикский  район</t>
  </si>
  <si>
    <t>ремонт крыши, системы электроснабжения</t>
  </si>
  <si>
    <t xml:space="preserve">ремонт крыши </t>
  </si>
  <si>
    <t>ремонт системы  электроснабжения</t>
  </si>
  <si>
    <t>Итого: 7  домов</t>
  </si>
  <si>
    <t>ремонт крыши, системы теплоснабжения</t>
  </si>
  <si>
    <t>ремонт крыши, системы  электроснабжения</t>
  </si>
  <si>
    <t>с. Моргауши, ул. 50 лет Октября, д. 38</t>
  </si>
  <si>
    <t>ремонт крыши, системы холодного водоснабжения</t>
  </si>
  <si>
    <t>Приложение № 2                                                                                              к республиканскому краткосрочному плану реализации в 2018–
2020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</si>
  <si>
    <t>ремонт систем холодного водоснабжения,  водоотведения</t>
  </si>
  <si>
    <t>ремонт систем электроснабжения, холодного водоснабжения,  водоотведения</t>
  </si>
  <si>
    <t>г. Шумерля, пер. Банковский, д. 8</t>
  </si>
  <si>
    <t>ремонт крыши, 
систем  
водоотведения, теплоснабжения, замена узлов управления и регулирования потребления 
тепловой энергии</t>
  </si>
  <si>
    <t>ремонт  крыши, системы теплоснабжения, замена узлов управления и регулирования потребления 
тепловой энергии</t>
  </si>
  <si>
    <t>г. Чебоксары, 
просп. Максима Горького, 
д. 27</t>
  </si>
  <si>
    <t>ремонт крыши, 
систем 
электроснабжения, водоотведения</t>
  </si>
  <si>
    <r>
      <t xml:space="preserve">П Е Р Е Ч Е Н Ь
многоквартирных домов, расположенных на территории Чувашской Республики, в отношении которых в 2018–2020 годах  планируется проведение  капитального ремонта общего имущества                  </t>
    </r>
    <r>
      <rPr>
        <sz val="13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</si>
  <si>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ремонт крыши, 
систем 
водоотведения, теплоснабжения, замена узлов управления и регулирования потребления 
тепловой энергии</t>
  </si>
  <si>
    <t>ремонт крыши, 
систем 
теплоснабжения, холодного водоснабжения,  водоотведения, горячего водоснабжения, замена узлов управления и регулирования потребления  тепловой энергии</t>
  </si>
  <si>
    <t xml:space="preserve">ремонт крыши, 
системы  
электроснабжения  </t>
  </si>
  <si>
    <t xml:space="preserve">ремонт систем горячего водоснабжения, теплоснабжения, холодного водоснабжения
</t>
  </si>
  <si>
    <t>ремонт систем  водоотведения, горячего водоснабжения, холодного водоснабжения,  замена узлов управления и регулирования потребления 
горячей воды</t>
  </si>
  <si>
    <t>г. Канаш, просп. Ленина, д. 13</t>
  </si>
  <si>
    <t>г. Канаш, ул. Трудовая, д. 1</t>
  </si>
  <si>
    <t>г. Канаш, просп. Ленина, д. 34</t>
  </si>
  <si>
    <t>9, 10</t>
  </si>
  <si>
    <t>ремонт систем холодного водоснабжения, водоотведения, горячего водоснабжения</t>
  </si>
  <si>
    <t>г. Чебоксары, ул. Космонавта Николаева А.Г., д. 38</t>
  </si>
  <si>
    <t>7,8,9</t>
  </si>
  <si>
    <t>ремонт фасада (утепление)</t>
  </si>
  <si>
    <t xml:space="preserve"> г. Чебоксары, ул. Ленинского Комсомола, д. 48</t>
  </si>
  <si>
    <t>г. Чебоксары, ул. Ленинского Комсомола, д. 8</t>
  </si>
  <si>
    <t>г. Чебоксары, ул. Ленинского Комсомола, д. 10</t>
  </si>
  <si>
    <t>г. Чебоксары, ул. Мичмана Павлова, д. 10А</t>
  </si>
  <si>
    <t>г. Чебоксары, ул. Байдула, д. 5</t>
  </si>
  <si>
    <t>г. Чебоксары, ул. Энгельса, д. 3</t>
  </si>
  <si>
    <t>г. Чебоксары, ул. Ленинского Комсомола, д. 46</t>
  </si>
  <si>
    <t>г. Чебоксары, ул. Гагарина Ю., д. 47</t>
  </si>
  <si>
    <t>г. Чебоксары, ул. Гузовского, д. 22</t>
  </si>
  <si>
    <t>г. Чебоксары, ул. Мичмана Павлова, д. 26</t>
  </si>
  <si>
    <t xml:space="preserve">ремонт системы водоотведения    </t>
  </si>
  <si>
    <t>г. Чебоксары, бульвар  Эгерский, д. 47</t>
  </si>
  <si>
    <t>г. Чебоксары, просп. Максима Горького, д. 47</t>
  </si>
  <si>
    <t>г. Чебоксары, пос. Восточный, д. 19</t>
  </si>
  <si>
    <t>г. Чебоксары, ул. Мичмана Павлова, д. 48/2</t>
  </si>
  <si>
    <t>г. Новочебоксарск, 
ул. Восточная, д. 26</t>
  </si>
  <si>
    <t>г. Канаш, ул. Пушкина, д. 23</t>
  </si>
  <si>
    <t>г. Канаш, подстанция Лесная, д. 2</t>
  </si>
  <si>
    <t>г. Канаш, ул. Чкалова, д. 14</t>
  </si>
  <si>
    <t>г. Чебоксары, ул. Розы Люксембург, д. 3</t>
  </si>
  <si>
    <t>г. Чебоксары, 
просп. Максима Горького, 
д. 21</t>
  </si>
  <si>
    <t>г. Чебоксары, просп. Мира, 
д. 42</t>
  </si>
  <si>
    <t>ремонт систем холодного водоснабжения, электроснабжения, теплоснабжения, водоотведения, замена узлов управления и регулирования потребления тепловой энергии</t>
  </si>
  <si>
    <t>г. Чебоксары, 
ул. Константина Иванова, 
д. 69</t>
  </si>
  <si>
    <t>г. Чебоксары, 
ул. Константина Иванова, 
д. 76/14</t>
  </si>
  <si>
    <t>ремонт крыши, 
систем 
водоотведения, электроснабжения, холодного водоснабжения</t>
  </si>
  <si>
    <t>г. Чебоксары, 
ул. Ленинградская, д. 14</t>
  </si>
  <si>
    <t>г. Чебоксары, 
ул. М.А. Сапожникова, 
д. 14</t>
  </si>
  <si>
    <t>Итого:  12 домов</t>
  </si>
  <si>
    <t>Мини-
маль-
ный 
раз-
мер 
фонда 
капи-
таль-
ного 
ремон-
та  
(для 
домов, 
выбрав-
ших спец-
счет)</t>
  </si>
  <si>
    <t>г. Чебоксары, 
бульвар Эгерский, 
д. 28</t>
  </si>
  <si>
    <t>г. Чебоксары, 
бульвар Эгерский, 
д. 33</t>
  </si>
  <si>
    <t>пгт Вурнары, ул. Ленина, 
д. 144</t>
  </si>
  <si>
    <t>пгт Вурнары, 
ул. Строительная, д. 5</t>
  </si>
  <si>
    <t>пгт Вурнары, 
ул. Чернышевского, д. 8</t>
  </si>
  <si>
    <t>пгт Ибреси, ул. Почтовая, 
д. 1</t>
  </si>
  <si>
    <t>с. Комсомольское, 
мкр. К. Антонова, д. 7</t>
  </si>
  <si>
    <t>с. Красноармейское, 
ул. Ленина, д. 74</t>
  </si>
  <si>
    <t>с. Красноармейское, 
ул. Ленина, д. 76</t>
  </si>
  <si>
    <t>д. Москакасы, ул. Зеленая, 
д. 2</t>
  </si>
  <si>
    <t>д. Москакасы, ул. Зеленая, 
д. 3</t>
  </si>
  <si>
    <t>д. Москакасы, ул. Зеленая, 
д. 7</t>
  </si>
  <si>
    <t>с. Моргауши, ул. Ленина, 
д. 26</t>
  </si>
  <si>
    <t>г. Чебоксары, ул. Петрова, 
д. 7</t>
  </si>
  <si>
    <t>ремонт систем теплоснабжения,  водоотведения</t>
  </si>
  <si>
    <t>г. Чебоксары, ул. Энгельса, 
д. 16</t>
  </si>
  <si>
    <t>г. Чебоксары, ул. Энгельса, 
д. 21</t>
  </si>
  <si>
    <t>г. Чебоксары, ул. Энгельса, 
д. 26</t>
  </si>
  <si>
    <t>г. Чебоксары, ул. Энгельса, 
д. 44</t>
  </si>
  <si>
    <t>г. Чебоксары, ул. Энгельса, 
д. 46</t>
  </si>
  <si>
    <t>с. Батырево, ул. Советская, 
д. 33</t>
  </si>
  <si>
    <t>пгт Вурнары, ул. К. Маркса, 
д. 8</t>
  </si>
  <si>
    <t>пгт Вурнары, ул. Советская, 
д. 21</t>
  </si>
  <si>
    <t>ремонт систем  водоотведения, теплоснабжения, замена узлов управления и регулирования потребления тепловой энергии</t>
  </si>
  <si>
    <t xml:space="preserve">ремонт систем электроснабжения, холодного водоснабжения,  водоотведения, теплоснабжения, замена узлов управления и регулирования потребления тепловой энергии  </t>
  </si>
  <si>
    <t xml:space="preserve">ремонт систем холодного водоснабжения,  водоотведения, теплоснабжения, замена узлов управления и регулирования потребления тепловой энергии </t>
  </si>
  <si>
    <t>ремонт систем водоотведения, холодного водоснабжения, электроснабжения, теплоснабжения, замена узлов управления и регулирования потребления тепловой энергии</t>
  </si>
  <si>
    <t>пгт Урмары, ул. Заводская, 
д. 43</t>
  </si>
  <si>
    <t>ст. Тюрлема, 
ул. Молодежная, д. 10</t>
  </si>
  <si>
    <t>керам-
зито-
бетон-
ный 
блок</t>
  </si>
  <si>
    <t>ремонт систем горячего водоснабжения, водоотведения, холодного водоснабжения</t>
  </si>
  <si>
    <t>ремонт систем водоотведения, теплоснабжения, замена узлов управления и регулирования потребления тепловой энергии</t>
  </si>
  <si>
    <t>с. Порецкое, ул. Крупской, 
д. 9</t>
  </si>
  <si>
    <t>г. Алатырь, 
ул. Первомайская, д. 78</t>
  </si>
  <si>
    <t>г. Чебоксары, ул. Компо-
зитора Максимова, д. 2/5</t>
  </si>
  <si>
    <t>г. Чебоксары, ул. Кон-
стантина Иванова, д. 17</t>
  </si>
  <si>
    <t>г. Чебоксары, ул. Кон-
стантина Иванова, д. 69</t>
  </si>
  <si>
    <t>г. Чебоксары, 
ул. Космонавта 
Николаева А.Г., д. 12</t>
  </si>
  <si>
    <t>г. Чебоксары, 
ул. Космонавта 
Николаева А.Г., д. 2</t>
  </si>
  <si>
    <t>г. Чебоксары, 
ул. Космонавта 
Николаева А.Г., д. 3</t>
  </si>
  <si>
    <t>г. Чебоксары, 
ул. Космонавта 
Николаева А.Г., д. 47</t>
  </si>
  <si>
    <t>г. Чебоксары, ул. Красина, 
д. 12</t>
  </si>
  <si>
    <t>г. Чебоксары, ул. Петрова, 
д. 3</t>
  </si>
  <si>
    <t>г. Чебоксары, 
ул. Пржевальского, д. 3</t>
  </si>
  <si>
    <t>г. Чебоксары, 
ул. Привокзальная, д. 10</t>
  </si>
  <si>
    <t>г. Чебоксары, ул. Красина, 
д. 16</t>
  </si>
  <si>
    <t>г. Чебоксары, 
просп. Ленина, д. 14</t>
  </si>
  <si>
    <t>г. Чебоксары, 
просп. Ленина, д. 18А</t>
  </si>
  <si>
    <t>ремонт крыши, ремонт систем водоотведения, холодного водоснабжения</t>
  </si>
  <si>
    <t>ремонт систем холодного водоснабжения, теплоснабжения, водоотведения</t>
  </si>
  <si>
    <t>с. Шемурша, ул. Космовского, д. 32</t>
  </si>
  <si>
    <t>с. Шемурша, ул. Космовского, д. 30</t>
  </si>
  <si>
    <t>г. Ядрин, ул. Герцена, д. 18а</t>
  </si>
  <si>
    <t>д. Стрелецкая, ул. 40 лет Победы, д. 141</t>
  </si>
  <si>
    <t>г. Ядрин, ул. 50 лет Октября, д. 20</t>
  </si>
  <si>
    <t>г. Ядрин, ул. 50 лет Октября, д. 37</t>
  </si>
  <si>
    <t>г. Ядрин, ул. Чапаева, д. 14а</t>
  </si>
  <si>
    <t>г. Шумерля, ул. Ленина, д. 24</t>
  </si>
  <si>
    <t>г. Шумерля, ул. Ленина, д. 32</t>
  </si>
  <si>
    <t>г. Шумерля, ул. Маршала Жукова, д. 19А</t>
  </si>
  <si>
    <t>г. Новочебоксарск, 
пер. Химиков, д. 5</t>
  </si>
  <si>
    <t>г. Новочебоксарск, 
пер. Химиков, д. 6</t>
  </si>
  <si>
    <t>г. Новочебоксарск, 
ул. Ж. Крутовой, д. 13</t>
  </si>
  <si>
    <t>г. Новочебоксарск, 
ул. Коммунистическая, д. 14</t>
  </si>
  <si>
    <t>г. Новочебоксарск, 
ул. Коммунистическая, д. 16</t>
  </si>
  <si>
    <t>г. Новочебоксарск, 
ул. Молодежная, д. 14</t>
  </si>
  <si>
    <t>г. Новочебоксарск, 
ул. Терешковой, д. 21</t>
  </si>
  <si>
    <t>г. Шумерля, 
пер. Банковский, д. 8</t>
  </si>
  <si>
    <t>г. Шумерля, 
ул. Ленина, д. 12</t>
  </si>
  <si>
    <t>г. Чебоксары, 
ул. Космонавта 
Николаева А.Г., д. 5</t>
  </si>
  <si>
    <t>г. Чебоксары, 
ул. Космонавта 
Николаева А.Г., д. 40, 
корп. 1</t>
  </si>
  <si>
    <t>г. Чебоксары, 
просп. Ленина, д. 56</t>
  </si>
  <si>
    <t>г. Чебоксары, 
просп. Ленина, д. 55</t>
  </si>
  <si>
    <t>г. Шумерля, 
ул. Октябрьская, д. 17</t>
  </si>
  <si>
    <t>г. Чебоксары, ул. Кос-
монавта Николаева А.Г., 
д. 30, корп. 1</t>
  </si>
  <si>
    <t>г. Чебоксары, ул. Кос-
монавта Николаева А.Г., 
д. 41</t>
  </si>
  <si>
    <t>ремонт систем  водоотведения, электроснабжения,  теплоснабжения, замена узлов управления и регулирования потребления тепловой энергии</t>
  </si>
  <si>
    <t>пгт Ибреси, 
ул. Кооперативная, 
д. 31</t>
  </si>
  <si>
    <t>пгт  Ибреси, 
ул. Маресьева, д. 51</t>
  </si>
  <si>
    <t>пгт  Ибреси, 
ул. Маресьева, д. 9</t>
  </si>
  <si>
    <t>с. Шихазаны, 
ул. В.П. Епифанова, д. 2</t>
  </si>
  <si>
    <t>с. Порецкое, ул. Ульянова, 
д. 135</t>
  </si>
  <si>
    <t>пгт Урмары, 
ул. Заводская, д. 38</t>
  </si>
  <si>
    <t>д. Таушкасы, 
ул. Шоссейная, д. 1</t>
  </si>
  <si>
    <t>д. Таушкасы, 
ул. Шоссейная, д. 3</t>
  </si>
  <si>
    <t>с. Чурачики, 
ул. Заводская, д. 10</t>
  </si>
  <si>
    <t>пос. Опытный, 
ул. П. Иванова, д. 8</t>
  </si>
  <si>
    <t>г. Цивильск, 
ул. Юбилейная, д. 13/2</t>
  </si>
  <si>
    <t>г. Цивильск, 
ул. Шоссейная, д. 16</t>
  </si>
  <si>
    <t>г. Цивильск, 
ул. Юбилейная, д. 9</t>
  </si>
  <si>
    <t>пос. Новое Атлашево, 
ул. Парковая, д. 8</t>
  </si>
  <si>
    <t>г. Ядрин, ул. К. Маркса, 
д. 19</t>
  </si>
  <si>
    <t>пгт Вурнары, 
ул. А. Иванова, д. 4</t>
  </si>
  <si>
    <t>ст. Тюрлема, 
ул. Железнодорожная, 
д. 100</t>
  </si>
  <si>
    <t>с. Синьялы, 
ул. Центральная, д. 3</t>
  </si>
  <si>
    <t>г. Новочебоксарск, 
ул. 10 Пятилетки, д. 54</t>
  </si>
  <si>
    <t>г. Канаш, 
ул. Машиностроителей, 
д. 3</t>
  </si>
  <si>
    <t>г. Чебоксары, 
просп. Тракторостроителей, 
д. 21</t>
  </si>
  <si>
    <t>г. Канаш, 
ул. Машиностроителей, 
д. 30</t>
  </si>
  <si>
    <t>г. Канаш, 
ул. Машиностроителей, 
д. 28</t>
  </si>
  <si>
    <t>г. Канаш, 
ул. Машиностроителей, 
д. 20</t>
  </si>
  <si>
    <t>г. Чебоксары, 
просп. Максима Горького, 
д. 47</t>
  </si>
  <si>
    <t xml:space="preserve">ремонт системы холодного водоснабжения </t>
  </si>
  <si>
    <t>с. Шихазаны, ул. 40 лет Победы, д. 2</t>
  </si>
  <si>
    <t>Ремонт  внутридомовых 
инженерных систем</t>
  </si>
  <si>
    <t>Cтоимость капиталь-
ного 
ремонта общего имущества в многоквартирном доме – всего</t>
  </si>
  <si>
    <t>г. Алатырь, ул. Московская, 
д. 60</t>
  </si>
  <si>
    <t>Количество жителей, зарегистри-рованных в многоквартир-
ном доме 
на дату утверждения Республиканской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</si>
  <si>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пгт Урмары, 
ул. Заводская, д. 33</t>
  </si>
  <si>
    <t>ремонт систем теплоснабжения,  холодного водоснабжения,  водоотведения, горячего водоснабжения, замена узлов управления и регулирования потребления тепловой энергии и горячей воды</t>
  </si>
  <si>
    <t>ремонт систем водоотведения,  горячего водоснабжения,   электроснабжения,  холодного водоснабжения, замена узлов управления и регулирования потребления горячей воды</t>
  </si>
  <si>
    <t>ремонт систем теплоснабжения, холодного водоснабжения, водоотведения, горячего водоснабжения, замена узлов управления и регулирования потребления 
тепловой энергии и горячей воды</t>
  </si>
  <si>
    <t>г. Канаш, ул. 30 лет Победы, 
д. 3</t>
  </si>
  <si>
    <t>г. Чебоксары, 
просп. Тракторострои-
телей, д. 83</t>
  </si>
  <si>
    <t>г. Чебоксары, 
просп. Тракторострои-
телей, д. 36</t>
  </si>
  <si>
    <t>с. Чурачики, ул. Заводская, 
д. 10</t>
  </si>
  <si>
    <t>ст. Тюрлема, 
ул. Молодежная, д. 12</t>
  </si>
  <si>
    <t>______________________</t>
  </si>
  <si>
    <t>г. Чебоксары, ул. Граж-
данская, д. 58, корп. 1</t>
  </si>
  <si>
    <t>г. Чебоксары, ул. Граж-
данская, д. 62/1</t>
  </si>
  <si>
    <t>г. Чебоксары, 
ул. Гузовского, д. 1</t>
  </si>
  <si>
    <t>г. Чебоксары, ул. Гузов-
ского, д. 15, корп. 1</t>
  </si>
  <si>
    <t>г. Чебоксары, 
ул. Гузовского, д. 17</t>
  </si>
  <si>
    <t>г. Чебоксары, 
ул. Кукшумская, д. 17</t>
  </si>
  <si>
    <t>г. Чебоксары, 
ул. Кукшумская, д. 25</t>
  </si>
  <si>
    <t>г. Чебоксары, 
ул. Ленинградская, д. 27</t>
  </si>
  <si>
    <t>г. Чебоксары, 
ул. Магницкого, д. 1</t>
  </si>
  <si>
    <t>г. Чебоксары, ул. Чапаева, 
д. 12</t>
  </si>
  <si>
    <t>г. Чебоксары, 
ул. Энергетиков, д. 5</t>
  </si>
  <si>
    <t>г. Чебоксары, 
ул. Энергетиков, д. 7</t>
  </si>
  <si>
    <t>г. Чебоксары, 
просп. Ленина, д. 25</t>
  </si>
  <si>
    <t>г. Чебоксары, просп. Мак-
сима Горького, д. 25</t>
  </si>
  <si>
    <t>г. Чебоксары, просп. 9-й Пятилетки, д. 2</t>
  </si>
  <si>
    <t>г. Чебоксары, просп. 9-й Пятилетки, д. 2, корп.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</si>
  <si>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</si>
  <si>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</si>
  <si>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</si>
  <si>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38, корп. 1</t>
  </si>
  <si>
    <t>г. Чебоксары, просп. Ленина, д. 49</t>
  </si>
  <si>
    <t>г. Чебоксары, просп. Максима Горького, д. 27</t>
  </si>
  <si>
    <t>пгт Кугеси, 
ул. Первомайская, д. 17</t>
  </si>
  <si>
    <t>г. Канаш, 
ул. Комсомольская, д. 54</t>
  </si>
  <si>
    <t>г. Чебоксары, 
ул. Гузовского, д. 19</t>
  </si>
  <si>
    <t>г. Чебоксары, ул. Гагари-
на Ю., д. 30</t>
  </si>
  <si>
    <t>г. Чебоксары, ул. Кос-
монавта Николаева А.Г., 
д. 51, корп. 2</t>
  </si>
  <si>
    <t>ремонт систем электроснабжения,   водоотведения</t>
  </si>
  <si>
    <t>ремонт систем теплоснабжения,  электроснабжения,  водоотведения</t>
  </si>
  <si>
    <t>с. Бичурино, ул. Новая, д. 2</t>
  </si>
  <si>
    <t>ремонт системы  водоотведения</t>
  </si>
  <si>
    <t>д. Сутчево, ул. Новая, д. 11</t>
  </si>
  <si>
    <t>с. Бичурино, ул. Новая, д. 4</t>
  </si>
  <si>
    <t>с. Шоршелы, ул. 30 лет Победы, д. 3</t>
  </si>
  <si>
    <t>с. Шоршелы, ул. 30 лет Победы, д. 8</t>
  </si>
  <si>
    <t>с. Шоршелы, ул. 30 лет Победы, д. 7</t>
  </si>
  <si>
    <t>г. Цивильск, ул. Гоголя, д. 9</t>
  </si>
  <si>
    <t>г. Чебоксары, ул. Энгельса, д. 6</t>
  </si>
  <si>
    <t>г. Чебоксары, ул. Патриса Лумумбы, д. 14</t>
  </si>
  <si>
    <t>г. Чебоксары, ул. Патриса Лумумбы, д. 4</t>
  </si>
  <si>
    <t>г. Чебоксары, ул. Патриса Лумумбы, д. 6, корп. 1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</si>
  <si>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</si>
  <si>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</si>
  <si>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</si>
  <si>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Гузовского, д. 19</t>
  </si>
  <si>
    <t>с. Батырево, ул. Мичурина, д. 5</t>
  </si>
  <si>
    <t>ремонт крыши, системы  водоотведения</t>
  </si>
  <si>
    <t>ремонт системы водоотведения</t>
  </si>
  <si>
    <t>г. Ядрин, ул. Чапаева, д. 15</t>
  </si>
  <si>
    <t>г. Ядрин, ул. Чапаева, д. 20</t>
  </si>
  <si>
    <t>д. Стрелецкая, ул. 40 лет Победы, д. 139</t>
  </si>
  <si>
    <t>г. Новочебоксарск, проезд Энергетиков, д. 1</t>
  </si>
  <si>
    <t>г. Новочебоксарск, проезд Энергетиков, д. 13</t>
  </si>
  <si>
    <t>с. Чурачики, 
ул. Молодежная, д. 7</t>
  </si>
  <si>
    <t>с. Ишлеи, ул. Советская, 
д. 5а</t>
  </si>
  <si>
    <t>с. Ишлеи, ул. Советская, 
д. 60</t>
  </si>
  <si>
    <t>с. Ишлеи, ул. Советская, 
д. 62</t>
  </si>
  <si>
    <t>с. Ишлеи, ул. Советская, 
д. 70</t>
  </si>
  <si>
    <t>с. Ишлеи, ул. Советская, 
д. 72</t>
  </si>
  <si>
    <t>с. Шемурша, 
ул. Космовского, д. 32</t>
  </si>
  <si>
    <t>г. Алатырь, мкр. Стрелка, 
д. 17</t>
  </si>
  <si>
    <t>г. Алатырь, мкр. Стрелка, 
д. 20</t>
  </si>
  <si>
    <t>г. Канаш, просп. Ленина, 
д. 11</t>
  </si>
  <si>
    <t>г. Канаш, просп. Ленина, 
д. 18</t>
  </si>
  <si>
    <t>г. Канаш, просп. Ленина, 
д. 24</t>
  </si>
  <si>
    <t>г. Канаш, просп. Ленина, 
д. 3</t>
  </si>
  <si>
    <t>г. Канаш, просп. Ленина, 
д. 43</t>
  </si>
  <si>
    <t>г. Канаш, просп. Ленина, 
д. 48</t>
  </si>
  <si>
    <t>г. Канаш, просп. Ленина, 
д. 5</t>
  </si>
  <si>
    <t>г. Канаш, просп. Ленина, 
д. 53</t>
  </si>
  <si>
    <t>г. Канаш, просп. Ленина, 
д. 64</t>
  </si>
  <si>
    <t>г. Канаш, просп. Ленина, 
д. 66</t>
  </si>
  <si>
    <t>г. Канаш, просп. Ленина, 
д. 79</t>
  </si>
  <si>
    <t>г. Канаш, просп. Ленина, 
д. 81</t>
  </si>
  <si>
    <t>г. Канаш, просп. Ленина, 
д. 87</t>
  </si>
  <si>
    <t>г. Канаш, просп. Ленина, 
д. 89</t>
  </si>
  <si>
    <t>г. Канаш, ул. Московская, 
д. 16</t>
  </si>
  <si>
    <t>г. Новочебоксарск, 
ул. Винокурова, д. 1</t>
  </si>
  <si>
    <t>г. Новочебоксарск, 
ул. Винокурова, д. 13</t>
  </si>
  <si>
    <t>г. Новочебоксарск, 
ул. Винокурова, д. 28</t>
  </si>
  <si>
    <t>г. Новочебоксарск, 
ул. Винокурова, д. 34</t>
  </si>
  <si>
    <t>г. Новочебоксарск, 
ул. Винокурова, д. 5</t>
  </si>
  <si>
    <t>г. Новочебоксарск, 
ул. Комсомольская, д. 9</t>
  </si>
  <si>
    <t>г. Новочебоксарск, 
ул. Молодежная, д. 16</t>
  </si>
  <si>
    <t>г. Новочебоксарск, 
ул. Молодежная, д. 6</t>
  </si>
  <si>
    <t>г. Новочебоксарск, 
ул. Парковая, д. 37</t>
  </si>
  <si>
    <t>г. Чебоксары, ул. Кон-
стантина Иванова, д. 98</t>
  </si>
  <si>
    <t>г. Чебоксары, 
ул. Кооперативная, д. 6</t>
  </si>
  <si>
    <t>г. Чебоксары, ул. Кос-
монавта Николаева А.Г., 
д. 12</t>
  </si>
  <si>
    <t>г. Чебоксары, ул. Кос-
монавта Николаева А.Г., 
д. 14</t>
  </si>
  <si>
    <t>г. Чебоксары, ул. Кос-
монавта Николаева А.Г., 
д. 16</t>
  </si>
  <si>
    <t>Шемуршинский район</t>
  </si>
  <si>
    <t>Шемуршинский  район</t>
  </si>
  <si>
    <t>Шумерлинский  район</t>
  </si>
  <si>
    <t>Итого: 1 дом</t>
  </si>
  <si>
    <t>пгт Ибреси, ул. Коминтерна, д. 10</t>
  </si>
  <si>
    <t>пгт Ибреси, ул. Почтовая, д. 1</t>
  </si>
  <si>
    <t>ремонт системы теплоснабжения,  замена узлов управления и регулирования потребления тепловой энергии</t>
  </si>
  <si>
    <t>ремонт систем теплоснабжения,   водоотведения, замена узлов управления и регулирования потребления 
тепловой энергии</t>
  </si>
  <si>
    <t>ремонт систем  водоотведения,  теплоснабжения, замена узлов управления и регулирования потребления 
тепловой энергии</t>
  </si>
  <si>
    <t>2013, 2016</t>
  </si>
  <si>
    <t>ремонт систем холодного водоснабжения, водоотведения</t>
  </si>
  <si>
    <t>с. Янтиково, тер. РТП, д. 28</t>
  </si>
  <si>
    <t>г. Алатырь, ул. Первомайская, д. 78</t>
  </si>
  <si>
    <t>г. Алатырь, ул. Первомайская,  д. 78</t>
  </si>
  <si>
    <t>с. Яльчики, ул. Канашское шоссе, д. 2</t>
  </si>
  <si>
    <t>г. Чебоксары, бульвар Эгерский, д. 25</t>
  </si>
  <si>
    <t>г. Чебоксары, просп. Ленина, д. 25</t>
  </si>
  <si>
    <t>Итого:  7 домов</t>
  </si>
  <si>
    <t>Итого:  17 домов</t>
  </si>
  <si>
    <t>Итого: 7 домов</t>
  </si>
  <si>
    <t>Всего по Чувашской Республике за 2020 год</t>
  </si>
  <si>
    <t>Всего по Чувашской Республике за 2019 год</t>
  </si>
  <si>
    <t>Всего по Чувашской Республике за 2018 год</t>
  </si>
  <si>
    <t>Итого по Чувашской Республике</t>
  </si>
  <si>
    <t>ремонт систем горячего водоснабжения,  водоотведения, холодного водоснабжения</t>
  </si>
  <si>
    <t>ремонт систем горячего водоснабжения,   водоотведения,  холодного водоснабжения</t>
  </si>
  <si>
    <t>г. Чебоксары, 
бульвар Эгерский, д. 57</t>
  </si>
  <si>
    <t>г. Чебоксары, просп. Мира, 
д. 28</t>
  </si>
  <si>
    <t>г. Чебоксары, просп. Мира, 
д. 29</t>
  </si>
  <si>
    <t>г. Чебоксары, просп. Мира, 
д. 30</t>
  </si>
  <si>
    <t>г. Чебоксары, просп. Мира, 
д. 44</t>
  </si>
  <si>
    <t>г. Чебоксары, 
просп. Тракторостроителей, 
д. 17/25</t>
  </si>
  <si>
    <t>г. Чебоксары, 
ул. Гагарина Ю., д. 30</t>
  </si>
  <si>
    <t>г. Чебоксары, 
ул. Гражданская, д. 58, 
корп. 1</t>
  </si>
  <si>
    <t>г. Чебоксары, 
ул. Гражданская, д. 62/1</t>
  </si>
  <si>
    <t>г. Чебоксары, ул. Хузангая, 
д. 17</t>
  </si>
  <si>
    <t>г. Чебоксары, ул. Хузангая, 
д. 21</t>
  </si>
  <si>
    <t>г. Чебоксары, ул. Хузангая, 
д. 25</t>
  </si>
  <si>
    <t>г. Чебоксары, ул. Хузангая, 
д. 27</t>
  </si>
  <si>
    <t>г. Чебоксары, ул. Хузангая, 
д. 29</t>
  </si>
  <si>
    <t>г. Чебоксары, ул. Энгельса, 
д. 40</t>
  </si>
  <si>
    <t>г. Чебоксары, 
бульвар Эгерский, д. 25</t>
  </si>
  <si>
    <t>г. Чебоксары, ул. Совхозная (пгт Новые Лапсары), д. 17</t>
  </si>
  <si>
    <t>г. Чебоксары, ул. Совхозная (пгт Новые Лапсары), д. 12</t>
  </si>
  <si>
    <t>г. Новочебоксарск, 
ул. Советская, д. 26</t>
  </si>
  <si>
    <t>г. Новочебоксарск, 
ул. Терешковой, д. 6</t>
  </si>
  <si>
    <t>г. Новочебоксарск, 
ул. Терешковой, д. 6А</t>
  </si>
  <si>
    <t>г. Новочебоксарск, 
ул. Терешковой, д. 7</t>
  </si>
  <si>
    <t>г. Шумерля, ул. Ленина, 
д. 24</t>
  </si>
  <si>
    <t>г. Шумерля, ул. Ленина, 
д. 32</t>
  </si>
  <si>
    <t>г. Чебоксары, 
просп. Ленина, д. 13</t>
  </si>
  <si>
    <t>г. Чебоксары, 
просп. Ленина, д. 16А</t>
  </si>
  <si>
    <t>г. Чебоксары, 
просп. Ленина, д. 28</t>
  </si>
  <si>
    <t>г. Чебоксары, 
просп. Ленина, д. 49</t>
  </si>
  <si>
    <t>г. Чебоксары, ул. Граж-
данская, д. 60, корп. 1</t>
  </si>
  <si>
    <t>г. Чебоксары, 
ул. Гузовского, д. 30</t>
  </si>
  <si>
    <t>г. Чебоксары, ул. Кон-
стантина Иванова, д. 78</t>
  </si>
  <si>
    <t>г. Чебоксары, ул. Кон-
стантина Иванова, д. 82</t>
  </si>
  <si>
    <t xml:space="preserve">Приложение № 1
к республиканскому краткосрочному плану реализации 
в 2018–2020 годах Республиканской программы капитального ремонта общего имущества в многоквартирных домах, расположенных на территории Чувашской Республики, 
на 2014–2043 годы                                                                                       </t>
  </si>
  <si>
    <t>пгт Вурнары, 
ул. Чернышевского, д. 14</t>
  </si>
  <si>
    <t>г. Мариинский Посад, 
ул. Курчатова, д. 6</t>
  </si>
  <si>
    <t>д. Эльбарусово, 
ул. Центральная, д. 5</t>
  </si>
  <si>
    <t>ремонт систем теплоснабжения, холодного водоснабжения</t>
  </si>
  <si>
    <t>ремонт  систем теплоснабжения,  холодного водоснабжения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</si>
  <si>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</si>
  <si>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</si>
  <si>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</si>
  <si>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</si>
  <si>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ремонт крыши,  системы электроснабжения</t>
  </si>
  <si>
    <t>ремонт  системы  электроснабжения</t>
  </si>
  <si>
    <t>ремонт  системы электроснабжения</t>
  </si>
  <si>
    <t>с. Красные Четаи, ул. Новая,  д. 7</t>
  </si>
  <si>
    <t>Итого: 6  домов</t>
  </si>
  <si>
    <t>Итого: 10 домов</t>
  </si>
  <si>
    <t xml:space="preserve">ремонт систем горячего водоснабжения,  холодного водоснабжения, теплоснабжения </t>
  </si>
  <si>
    <t>с. Батырево, ул. Кирова, д. 16</t>
  </si>
  <si>
    <t>ремонт крыши, систем холодного водоснабжения,  теплоснабжения</t>
  </si>
  <si>
    <t>г. Чебоксары, 
просп. Ленина, д. 51, корп. 1</t>
  </si>
  <si>
    <t>с. Чурачики, ул. Молодежная, д. 6</t>
  </si>
  <si>
    <t>д. Таушкасы, ул. Шоссейная, д. 2</t>
  </si>
  <si>
    <t>ремонт системы электроснабжения, подвальных помещений</t>
  </si>
  <si>
    <t>Адрес 
многоквартирного дома</t>
  </si>
  <si>
    <t>ремонт систем теплоснабжения,  холодного водоснабжения, водоотведения,  замена узлов управления и регулирования потребления тепловой энергии</t>
  </si>
  <si>
    <t>г. Канаш, ул. 30 лет Победы, д. 3</t>
  </si>
  <si>
    <t>ремонт систем горячего водоснабжения, холодного водоснабжения, водоотведения, теплоснабжения, замена узлов управления и регулирования потребления тепловой энергии и горячей воды</t>
  </si>
  <si>
    <t xml:space="preserve">ремонт систем холодного водоснабжения, горячего водоснабжения </t>
  </si>
  <si>
    <t>ремонт крыши, систем холодного водоснабжения,  электроснабжения, водоотведения, горячего водоснабжения, замена узлов управления и регулирования потребления горячей воды</t>
  </si>
  <si>
    <t>ремонт крыши, 
систем горячего водоснабжения,  электроснабжения, водоотведения,  холодного водоснабжения, замена узлов управления и регулирования потребления горячей воды</t>
  </si>
  <si>
    <t>ремонт систем  теплоснабжения,  холодного водоснабжения,  электроснабжения,  горячего водоснабжения, замена узлов управления и регулирования потребления тепловой энергии и горячей воды</t>
  </si>
  <si>
    <t>ремонт крыши, 
систем теплоснабжения,  горячего водоснабжения, холодного водоснабжения, замена узлов управления и регулирования потребления тепловой энергии и горячей воды</t>
  </si>
  <si>
    <t>ремонт систем горячего водоснабжения,  холодного водоснабжения, водоотведения,  теплоснабжения, замена узлов управления и регулирования потребления тепловой энергии и горячей воды</t>
  </si>
  <si>
    <t xml:space="preserve">ремонт систем  водоотведения,  теплоснабжения,  горячего водоснабжения,  холодного водоснабжения, замена узлов управления и регулирования потребления тепловой энергии и горячей воды </t>
  </si>
  <si>
    <t xml:space="preserve">ремонт систем теплоснабжения,  электроснабжения, замена узлов управления и регулирования потребления тепловой энергии </t>
  </si>
  <si>
    <t>ремонт систем  водоотведения, горячего водоснабжения, теплоснабжения, холодного водоснабжения, замена узлов управления и регулирования потребления тепловой энергии и горячей воды</t>
  </si>
  <si>
    <t xml:space="preserve"> ремонт системы  горячего водоснабжения, замена узлов управления и регулирования потребления горячей воды </t>
  </si>
  <si>
    <t>ремонт систем холодного водоснабжения,  горячего водоснабжения,  теплоснабжения, замена узлов управления и регулирования потребления тепловой энергии и горячей воды</t>
  </si>
  <si>
    <t>ремонт систем горячего водоснабжения,  холодного водоснабжения, электроснабжения,  теплоснабжения, замена узлов управления и регулирования потребления 
тепловой энергии и горячей воды</t>
  </si>
  <si>
    <t>ремонт систем теплоснабжения,  водоотведения,  горячего водоснабжения,  холодного водоснабжения, замена узлов управления и регулирования потребления тепловой энергии и горячей воды</t>
  </si>
  <si>
    <t>ремонт систем теплоснабжения,  горячего водоснабжения,  холодного водоснабжения, замена узлов управления и регулирования потребления тепловой энергии и горячей воды</t>
  </si>
  <si>
    <t>ремонт систем  водоотведения, холодного водоснабжения, горячего водоснабжения, теплоснабжения, замена узлов управления и регулирования потребления тепловой энергии и горячей воды</t>
  </si>
  <si>
    <t>Установка и замена коллективных (общедомовых) ПУ и УУ</t>
  </si>
  <si>
    <t>Итого: 116 домов</t>
  </si>
  <si>
    <t>Итого: 9 домов</t>
  </si>
  <si>
    <t>94</t>
  </si>
  <si>
    <t>Итого:  24 дома</t>
  </si>
  <si>
    <t>Всего: 261 дом</t>
  </si>
  <si>
    <t>Итого:  31 дом</t>
  </si>
  <si>
    <t>Всего: 291 дом</t>
  </si>
  <si>
    <t>Итого за 2018–2020 годы: 873 дома</t>
  </si>
  <si>
    <t>г. Чебоксары, ул. Короленко,       д. 12</t>
  </si>
  <si>
    <t>_______________</t>
  </si>
  <si>
    <t>пос. Новое Атлашево,
ул. Парковая, д. 7</t>
  </si>
  <si>
    <t>г. Ядрин, ул. Плеханова, 
д. 19</t>
  </si>
  <si>
    <t>г. Канаш, просп. Ленина, 
д. 44</t>
  </si>
  <si>
    <t>г. Канаш, ул. Железно-
дорожная, д. 271</t>
  </si>
  <si>
    <t>г. Канаш, ул. Железно-
дорожная, д. 18</t>
  </si>
  <si>
    <t>г. Канаш, ул. Железно-
дорожная, д. 272</t>
  </si>
  <si>
    <t>г. Канаш, ул. Железно-
дорожная, д. 274</t>
  </si>
  <si>
    <t>г. Новочебоксарск, 
ул. Коммунистическая, 
д. 32</t>
  </si>
  <si>
    <t>г. Новочебоксарск, 
бульвар  Зеленый, д. 18</t>
  </si>
  <si>
    <t>г. Новочебоксарск, 
бульвар  Зеленый, д. 1а</t>
  </si>
  <si>
    <t>г. Новочебоксарск, 
бульвар  Зеленый, д. 22</t>
  </si>
  <si>
    <t>г. Чебоксары, 
бульвар Эгерский, д. 22</t>
  </si>
  <si>
    <t>г. Чебоксары, 
бульвар Эгерский, д. 28</t>
  </si>
  <si>
    <t>г. Чебоксары, 
бульвар Эгерский, д. 33</t>
  </si>
  <si>
    <t>г. Чебоксары, 
бульвар Эгерский, д. 5</t>
  </si>
  <si>
    <t>г. Чебоксары, 
просп. Ленина, д. 1</t>
  </si>
  <si>
    <t>г. Чебоксары,
 просп. Ленина, д. 11</t>
  </si>
  <si>
    <t>г. Чебоксары, 
просп. Ленина, д. 17</t>
  </si>
  <si>
    <t>г. Чебоксары, 
просп. Ленина, д. 24</t>
  </si>
  <si>
    <t>г. Чебоксары, 
просп. Ленина, д. 30</t>
  </si>
  <si>
    <t>г. Чебоксары, 
просп. Ленина, д. 39</t>
  </si>
  <si>
    <t>г. Чебоксары, 
просп. Ленина, д. 57</t>
  </si>
  <si>
    <t>г. Чебоксары, 
просп. Московский, д. 31А</t>
  </si>
  <si>
    <t>г. Чебоксары, 
просп. Московский, д. 31Б</t>
  </si>
  <si>
    <t>г. Чебоксары, 
ул. Текстильщиков, д. 13</t>
  </si>
  <si>
    <t>г. Чебоксары, 
ул. Текстильщиков, д. 13А</t>
  </si>
  <si>
    <t>г. Чебоксары, 
ул. Гузовского, д. 20</t>
  </si>
  <si>
    <t>г. Чебоксары, 
ул. Привокзальная, д. 6</t>
  </si>
  <si>
    <t>г. Чебоксары, 
ул. Гражданская, д. 80</t>
  </si>
  <si>
    <t>г. Чебоксары, 
ул. Энтузиастов, д. 7, 
корп. 2</t>
  </si>
  <si>
    <t>г. Чебоксары, 
ул. Коллективная, д. 7</t>
  </si>
  <si>
    <t xml:space="preserve">г. Чебоксары, 
ул. Ленинского Комсомола, 
д. 48
</t>
  </si>
  <si>
    <t>г. Чебоксары, 
ул. Пролетарская, д. 4</t>
  </si>
  <si>
    <t>г. Чебоксары, ул. Красина, 
д. 10</t>
  </si>
  <si>
    <t>г. Чебоксары, проезд  Школьный, д. 4</t>
  </si>
  <si>
    <t>ремонт крыши,  системы теплоснабжения, замена узлов управления и регулирования потребления тепловой энергии</t>
  </si>
  <si>
    <t>г. Козловка, 
ул. Лобачевского, д. 20</t>
  </si>
  <si>
    <t>г. Козловка, ул. Герцена, 
д. 10</t>
  </si>
  <si>
    <t>пгт Урмары, ул. Ленина, 
д. 51</t>
  </si>
  <si>
    <t>пгт Урмары, ул. Ленина, 
д. 35</t>
  </si>
  <si>
    <t>пгт Урмары, 
ул. Порфирьева, д. 4</t>
  </si>
  <si>
    <t>пгт Кугеси, 
ул. Геологическая, д. 3</t>
  </si>
  <si>
    <t>пгт Кугеси, 
ул. Первомайская, д. 1</t>
  </si>
  <si>
    <t xml:space="preserve">г. Ядрин, ул. Чапаева, д. 14б </t>
  </si>
  <si>
    <t>г. Канаш,  
ул. Р. Люксембург, д. 24</t>
  </si>
  <si>
    <t>г. Чебоксары, 
ул. Ленинского Комсомола, 
д. 40</t>
  </si>
  <si>
    <t>г. Чебоксары, 
ул. Ленинского Комсомола, 
д. 44</t>
  </si>
  <si>
    <t>г. Чебоксары, 
ул. 324 Стрелковой 
дивизии, д. 12</t>
  </si>
  <si>
    <t xml:space="preserve"> г. Чебоксары, 
ул. Декабристов, 
д. 20, корп. 1</t>
  </si>
  <si>
    <t>г. Чебоксары, 
просп. Ленина, д. 21</t>
  </si>
  <si>
    <t>г. Чебоксары, 
ул. Композитора 
Максимова, д. 6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</si>
  <si>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</si>
  <si>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</si>
  <si>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</si>
  <si>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</si>
  <si>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</si>
  <si>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</si>
  <si>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</si>
  <si>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</si>
  <si>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</si>
  <si>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</si>
  <si>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</si>
  <si>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</si>
  <si>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</si>
  <si>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</si>
  <si>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</si>
  <si>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</si>
  <si>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</si>
  <si>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</si>
  <si>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</si>
  <si>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</si>
  <si>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</si>
  <si>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</si>
  <si>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</si>
  <si>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</si>
  <si>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Итого: 8  домов</t>
  </si>
  <si>
    <t>Итого:  11 домов</t>
  </si>
  <si>
    <t>Итого:  8 домов</t>
  </si>
  <si>
    <t>Итого:  4 дома</t>
  </si>
  <si>
    <t xml:space="preserve">Итого: 11 домов </t>
  </si>
  <si>
    <t>Итого:  30 домов</t>
  </si>
  <si>
    <t>Всего: 321 дом</t>
  </si>
  <si>
    <t>г. Шумерля, 
ул. Октябрьская, д. 19</t>
  </si>
  <si>
    <t>г. Шумерля, 
ул. Октябрьская, д. 19А</t>
  </si>
  <si>
    <t>г. Шумерля, 
ул. Октябрьская, д. 22</t>
  </si>
  <si>
    <t>г. Чебоксары, 
просп. Ленина, д. 3</t>
  </si>
  <si>
    <t>г. Чебоксары, 
просп. Ленина, д. 52</t>
  </si>
  <si>
    <t>г. Чебоксары, 
пер. Заводской, д. 4</t>
  </si>
  <si>
    <t>г. Чебоксары, 
просп. Ленина, д. 19</t>
  </si>
  <si>
    <t>г. Чебоксары, 
просп. Ленина, д. 27</t>
  </si>
  <si>
    <t>ремонт систем  электроснабжения, холодного водоснабжения,  водоотведения</t>
  </si>
  <si>
    <t>г. Алатырь, ул. Грибоедова, 
д. 58А</t>
  </si>
  <si>
    <t>г. Канаш,  ул. Р. Люксембург, д. 24</t>
  </si>
  <si>
    <t>г. Новочебоксарск, бульвар Зеленый, д. 31</t>
  </si>
  <si>
    <t>3 015,40</t>
  </si>
  <si>
    <t>г. Новочебоксарск, 
ул. Солнечная, д. 34</t>
  </si>
  <si>
    <t>3 070,60</t>
  </si>
  <si>
    <t>г. Новочебоксарск, 
ул. Комсомольская, д. 21</t>
  </si>
  <si>
    <t>1 976,00</t>
  </si>
  <si>
    <t>г. Новочебоксарск, 
бульвар  Гидростроителей, 
д. 11</t>
  </si>
  <si>
    <t>1 735,50</t>
  </si>
  <si>
    <t>г. Новочебоксарск, 
ул. Силикатная, д. 9</t>
  </si>
  <si>
    <t>ремонт  крыши, системы теплоснабжения</t>
  </si>
  <si>
    <t>г. Новочебоксарск, 
ул. Молодежная, д. 10</t>
  </si>
  <si>
    <t>1 276,80</t>
  </si>
  <si>
    <t>г. Новочебоксарск, 
ул. Советская, д. 18</t>
  </si>
  <si>
    <t>г. Новочебоксарск, 
ул. Советская, д. 30</t>
  </si>
  <si>
    <t>3 564,90</t>
  </si>
  <si>
    <t xml:space="preserve"> ремонт системы теплоснабжения</t>
  </si>
  <si>
    <t>г. Новочебоксарск, 
ул. Молодежная, д. 17</t>
  </si>
  <si>
    <t>г. Чебоксары, 
ул. Маршака, д. 14, корп. 1</t>
  </si>
  <si>
    <t>г. Чебоксары, ул. Шумилова, д. 29</t>
  </si>
  <si>
    <t>г. Чебоксары, проезд  Школьный, д. 10</t>
  </si>
  <si>
    <t xml:space="preserve"> г. Чебоксары, 
ул. О. Беспалова, д. 4</t>
  </si>
  <si>
    <t xml:space="preserve"> ремонт систем холодного водоснабжения, водоотведения</t>
  </si>
  <si>
    <t>г. Чебоксары, ул. Ленинского Комсомола, д. 40</t>
  </si>
  <si>
    <t>г. Чебоксары, ул. Кадыкова, 
д. 26</t>
  </si>
  <si>
    <t>г. Чебоксары, ул. Энгельса, 
д. 23</t>
  </si>
  <si>
    <t>г. Чебоксары, ул. Маршака, 
д. 8</t>
  </si>
  <si>
    <t>ремонт системы теплоснабжения, замена  узлов управления и регулирования потребления тепловой энергии</t>
  </si>
  <si>
    <t>г. Чебоксары, просп. Тракторостроителей, д. 21</t>
  </si>
  <si>
    <t>г. Чебоксары, 
ул. Пролетарская, д. 10</t>
  </si>
  <si>
    <t>г. Чебоксары, ул. Ленинского Комсомола, д. 36</t>
  </si>
  <si>
    <t>г. Чебоксары, ул. Энгельса, 
д. 13</t>
  </si>
  <si>
    <t>г. Чебоксары, 
ул. 324 Стрелковой
дивизии, д. 12</t>
  </si>
  <si>
    <t xml:space="preserve">ремонт системы электроснабжения </t>
  </si>
  <si>
    <t xml:space="preserve"> г. Чебоксары, 
ул. Декабристов, д. 20, корп. 1</t>
  </si>
  <si>
    <t>г. Чебоксары, ул. Энгельса, 
д. 17</t>
  </si>
  <si>
    <t>г. Чебоксары, просп. Ленина, д. 21</t>
  </si>
  <si>
    <t>ремонт систем холодного водоснабжения, горячего водоснабжения,  водоотведения</t>
  </si>
  <si>
    <t>г. Чебоксары, 
ул. Композитора Максимова, 
д. 6</t>
  </si>
  <si>
    <t>г. Чебоксары, 
ул. Текстильщиков, д. 21</t>
  </si>
  <si>
    <t>г. Чебоксары, ул. Кадыкова, 
д. 2</t>
  </si>
  <si>
    <t>г. Чебоксары, ул. 50 лет Октября, д. 17</t>
  </si>
  <si>
    <t>с. Моргауши, ул. 50 лет Октября, д. 30</t>
  </si>
  <si>
    <t>с. Яльчики, ул. Северная, д. 1</t>
  </si>
  <si>
    <t>ремонт систем  водоотведения,  электроснабжения, холодного водоснабжения</t>
  </si>
  <si>
    <t>пгт Вурнары, ул. А. Иванова, д. 4</t>
  </si>
  <si>
    <t>ремонт систем теплоснабжения,  холодного водоснабжения,  водоотведения</t>
  </si>
  <si>
    <t>блочный ж/б</t>
  </si>
  <si>
    <t>ремонт подвальных помещений</t>
  </si>
  <si>
    <t>пгт Вурнары, ул. А. Иванова, д. 2</t>
  </si>
  <si>
    <t>с. Синьялы, ул. Центральная, д. 3</t>
  </si>
  <si>
    <t>с. Ишлеи, ул. Советская, д. 5а</t>
  </si>
  <si>
    <t>с. Ишлеи, ул. Советская, д. 60</t>
  </si>
  <si>
    <t>с. Ишлеи, ул. Советская, д. 62</t>
  </si>
  <si>
    <t>д. Чиричкасы, 
ул. Молодежная, д. 19</t>
  </si>
  <si>
    <t>пос. Конар, ул. Школьная, 
д. 3</t>
  </si>
  <si>
    <t>пос. Опытный, 
ул. П. Иванова, д. 1</t>
  </si>
  <si>
    <t>пос. Опытный, 
ул. П. Иванова, д. 13</t>
  </si>
  <si>
    <t>пос. Опытный, 
ул. П. Иванова, д. 7</t>
  </si>
  <si>
    <t>с. Чурачики, 
ул. Мелиораторов, д. 11</t>
  </si>
  <si>
    <t>с. Чурачики, 
ул. Мелиораторов, д. 15</t>
  </si>
  <si>
    <t>г. Цивильск, ул. Гагарина, 
д. 7</t>
  </si>
  <si>
    <t>пос. Опытный, 
ул. П. Иванова, д. 15</t>
  </si>
  <si>
    <t>д. Большие Катраси, 
ул. Молодежная, д. 5</t>
  </si>
  <si>
    <t>д. Чиршкасы (Сирмапосинского с/п), 
ул. 11-й Пятилетки, д. 2</t>
  </si>
  <si>
    <t>пгт  Кугеси, ул. Кутузова, 
д. 15</t>
  </si>
  <si>
    <t>пгт Кугеси, ул. Советская, 
д. 6</t>
  </si>
  <si>
    <t>ремонт систем горячего водоснабжения,  теплоснабжения,    водоотведения, холодного водоснабжения</t>
  </si>
  <si>
    <t>ввода в 
экс-
плуата-
цию мно-
гоквар-
тирного дома</t>
  </si>
  <si>
    <t>Удельная стоимость капиталь-
ного ремонта одного квадратного метра общей площади помещений многоквартир-ного дома</t>
  </si>
  <si>
    <t>ремонт крыши, 
систем 
холодного водоснабжения,  водоотведения, теплоснабжения, замена узлов управления и регулирования потребления 
тепловой энергии</t>
  </si>
  <si>
    <t>ремонт крыши, 
систем  водоотведения, электроснабжения</t>
  </si>
  <si>
    <t xml:space="preserve"> ремонт систем  водоотведения, холодного водоснабжения, теплоснабжения</t>
  </si>
  <si>
    <t>г. Шумерля, ул. Маршала Жукова, д. 15</t>
  </si>
  <si>
    <t>г. Шумерля, ул. Маршала Жукова, д. 24</t>
  </si>
  <si>
    <t>кирпич, дерево</t>
  </si>
  <si>
    <t>г. Шумерля, ул. Октябрьская, д. 19</t>
  </si>
  <si>
    <t>г. Шумерля, ул. Октябрьская, д. 19А</t>
  </si>
  <si>
    <t>г. Шумерля, ул. Октябрьская, д. 22</t>
  </si>
  <si>
    <t>ремонт крыши, 
систем водоотведения, теплоснабжения</t>
  </si>
  <si>
    <t xml:space="preserve">ремонт крыши, 
систем  
водоотведения, холодного водоснабжения, теплоснабжения, замена узлов управления и регулирования потребления 
тепловой энергии </t>
  </si>
  <si>
    <t>ремонт систем электроснабжения, теплоснабжения,  замена узлов управления и регулирования потребления 
тепловой энергии</t>
  </si>
  <si>
    <t>ремонт крыши, 
систем холодного водоснабжения,  теплоснабжения, замена узлов управления и регулирования потребления 
тепловой энергии</t>
  </si>
  <si>
    <t>ремонт крыши, 
систем 
теплоснабжения,   водоотведения,  замена узлов управления и регулирования потребления 
тепловой энергии</t>
  </si>
  <si>
    <t>г. Новочебоксарск, 
ул. Терешковой, д. 19</t>
  </si>
  <si>
    <t>г. Чебоксары, 
ул. Энергетиков, д. 26</t>
  </si>
  <si>
    <t>г. Мариинский Посад, 
ул. Ломоносова, д. 2</t>
  </si>
  <si>
    <t>с. Большой Сундырь, 
ул. Новая, д. 5</t>
  </si>
  <si>
    <t>д. Малое Янгорчино, 
ул. Шоссейная, д. 5</t>
  </si>
  <si>
    <t>д. Малое Янгорчино, 
ул. Шоссейная, д. 6</t>
  </si>
  <si>
    <t>пос. Опытный, 
ул. П. Иванова, д. 4</t>
  </si>
  <si>
    <t>с. Чурачики, 
ул. Молодежная, д. 6</t>
  </si>
  <si>
    <t>пос. Новое Атлашево, 
ул. 70 лет Октября, д. 2</t>
  </si>
  <si>
    <t>пос. Новое Атлашево, 
ул. 70 лет Октября, д. 6</t>
  </si>
  <si>
    <t>пос. Новое Атлашево, 
ул. 70 лет Октября, д. 7</t>
  </si>
  <si>
    <t>пос. Новое Атлашево, 
ул. 70 лет Октября, д. 17</t>
  </si>
  <si>
    <t>пос. Новое Атлашево, 
ул. Парковая, д. 12</t>
  </si>
  <si>
    <t>с. Шемурша, 
ул. Космовского, д. 30</t>
  </si>
  <si>
    <t>г. Канаш, просп. Ленина, 
д. 59</t>
  </si>
  <si>
    <t xml:space="preserve">ремонт крыши, системы электроснабжения </t>
  </si>
  <si>
    <t>пос. Конар, ул. Мира, д. 3</t>
  </si>
  <si>
    <t>ремонт системы теплоснабжения</t>
  </si>
  <si>
    <t>12</t>
  </si>
  <si>
    <t>1</t>
  </si>
  <si>
    <t>4</t>
  </si>
  <si>
    <t>5</t>
  </si>
  <si>
    <t>3</t>
  </si>
  <si>
    <t>7</t>
  </si>
  <si>
    <t>6</t>
  </si>
  <si>
    <t>9</t>
  </si>
  <si>
    <t>2</t>
  </si>
  <si>
    <t>8</t>
  </si>
  <si>
    <t>с. Порецкое, ул. Ульянова, 
д. 133</t>
  </si>
  <si>
    <t xml:space="preserve">ремонт крыши, 
систем 
электроснабжения, водоотведения,  холодного водоснабжения </t>
  </si>
  <si>
    <t>с. Русские Алгаши, 
ул. Октябрьская, д. 9, 
корп. 1</t>
  </si>
  <si>
    <t xml:space="preserve">г. Алатырь, ул. Московская, 
д. 175 </t>
  </si>
  <si>
    <t>ремонт крыши, 
систем 
теплоснабжения, холодного водоснабжения</t>
  </si>
  <si>
    <t>ремонт крыши, 
систем 
теплоснабжения, водоотведения</t>
  </si>
  <si>
    <t>г. Новочебоксарск, 
ул. Коммунистическая, 
д. 14</t>
  </si>
  <si>
    <t>г. Новочебоксарск, 
ул. Коммунистическая, 
д. 16</t>
  </si>
  <si>
    <t>г. Новочебоксарск, 
ул. 10 Пятилетки, д.  54</t>
  </si>
  <si>
    <t>г. Новочебоксарск, 
ул. 10 Пятилетки, д.  46</t>
  </si>
  <si>
    <t>г. Шумерля, 
ул. Интернациональная, 
д. 14</t>
  </si>
  <si>
    <t>ремонт крыши, 
систем холодного 
водоснабжения,  теплоснабжения</t>
  </si>
  <si>
    <t>пгт Кугеси, ул. Советская, 
д. 54</t>
  </si>
  <si>
    <t>пгт Кугеси, ул. Советская, 
д. 56</t>
  </si>
  <si>
    <t>пгт Кугеси, ул. Советская, 
д. 57</t>
  </si>
  <si>
    <t>пгт Кугеси, ул. Советская, 
д. 57а</t>
  </si>
  <si>
    <t>пгт Кугеси, ул. Советская, 
д. 59</t>
  </si>
  <si>
    <t>пгт Кугеси, ул. Советская, 
д. 59а</t>
  </si>
  <si>
    <t>пгт Кугеси, ул. Советская, 
д. 60</t>
  </si>
  <si>
    <t>пос. Новое Атлашево, 
пер. В. Кудряшова, д. 3</t>
  </si>
  <si>
    <t>с. Шемурша, 
ул. Космовского, д. 11</t>
  </si>
  <si>
    <t>с. Яльчики, ул. Северная, 
д. 1</t>
  </si>
  <si>
    <t>г. Алатырь, мкр. Стрелка, 
д. 30</t>
  </si>
  <si>
    <t>г. Канаш, просп. Ленина, 
д. 10</t>
  </si>
  <si>
    <t>г. Канаш, просп. Ленина, 
д. 12</t>
  </si>
  <si>
    <t>г. Канаш, просп. Ленина, 
д. 14</t>
  </si>
  <si>
    <t>г. Канаш, просп. Ленина, 
д. 17</t>
  </si>
  <si>
    <t>г. Канаш, просп. Ленина, 
д. 19</t>
  </si>
  <si>
    <t>г. Канаш, просп. Ленина, 
д. 2</t>
  </si>
  <si>
    <t>г. Канаш, просп. Ленина, 
д. 25</t>
  </si>
  <si>
    <t>г. Канаш, просп. Ленина, 
д. 26</t>
  </si>
  <si>
    <t>г. Канаш, просп. Ленина, 
д. 33</t>
  </si>
  <si>
    <t>г. Канаш, просп. Ленина, 
д. 4</t>
  </si>
  <si>
    <t>г. Канаш, просп. Ленина, 
д. 6</t>
  </si>
  <si>
    <t>г. Канаш, просп. Ленина, 
д. 8</t>
  </si>
  <si>
    <t>г. Канаш, ул. Канашская, 
д. 2</t>
  </si>
  <si>
    <t>г. Новочебоксарск, 
ул. Винокурова, д. 24</t>
  </si>
  <si>
    <t>г. Новочебоксарск, 
ул. Винокурова, д. 25</t>
  </si>
  <si>
    <t>г. Новочебоксарск, ул. Ком-
мунистическая, д. 35</t>
  </si>
  <si>
    <t>г. Новочебоксарск, ул. Ком-
сомольская, д. 11</t>
  </si>
  <si>
    <t>г. Новочебоксарск, ул. Ком-
сомольская, д. 15</t>
  </si>
  <si>
    <t>г. Новочебоксарск, ул. Ком-
сомольская, д. 3</t>
  </si>
  <si>
    <t>г. Новочебоксарск, ул. Мо-
лодежная, д. 7</t>
  </si>
  <si>
    <t>г. Новочебоксарск, 
ул. Советская, д. 14</t>
  </si>
  <si>
    <t>г. Новочебоксарск, 
ул. Советская, д. 6</t>
  </si>
  <si>
    <t>г. Новочебоксарск, 
ул. Советская, д. 8</t>
  </si>
  <si>
    <t>г. Новочебоксарск, 
ул. Солнечная, д. 4</t>
  </si>
  <si>
    <t>г. Новочебоксарск, 
ул. Терешковой, д. 12</t>
  </si>
  <si>
    <t>г. Новочебоксарск, 
ул. Терешковой, д. 17</t>
  </si>
  <si>
    <t>г. Новочебоксарск, 
ул. Молодежная, д. 7</t>
  </si>
  <si>
    <t>г. Шумерля, 
ул. Интернациональная, 
д. 27</t>
  </si>
  <si>
    <t>г. Чебоксары, ул. Энгельса, 
д. 20</t>
  </si>
  <si>
    <t>г. Чебоксары, ул. Энгельса, 
д. 22</t>
  </si>
  <si>
    <t>г. Чебоксары, ул. Энгельса, 
д. 36</t>
  </si>
  <si>
    <t>г. Чебоксары, ул. Энгельса, 
д. 48, корп. 1</t>
  </si>
  <si>
    <t>г. Чебоксары, ул. Энгельса, 
д. 6</t>
  </si>
  <si>
    <t>г. Чебоксары, 
бульвар Эгерский, д. 51</t>
  </si>
  <si>
    <t>г. Чебоксары, 
бульвар Эгерский, д. 43</t>
  </si>
  <si>
    <t>г. Чебоксары, 
бульвар Эгерский, д. 45</t>
  </si>
  <si>
    <t>г. Чебоксары, 
бульвар Эгерский, д. 53</t>
  </si>
  <si>
    <t>г. Чебоксары, 
бульвар Эгерский, д. 55</t>
  </si>
  <si>
    <t>пгт Урмары, 
ул. Механизаторов, д. 14</t>
  </si>
  <si>
    <t>пгт Вурнары, 
ул. К. Маркса, д. 8</t>
  </si>
  <si>
    <t>пос. Сюктерка, 
ул. Волжские Зори, д. 1а</t>
  </si>
  <si>
    <t>с. Яльчики, ул. Андреева, 
д. 6</t>
  </si>
  <si>
    <t>ст. Тюрлема, 
ул. Молодежная, д. 11</t>
  </si>
  <si>
    <t>ремонт системы теплоснабжения, замена узлов управления и регулирования потребления тепловой энергии</t>
  </si>
  <si>
    <t>г. Чебоксары, ул. Мичмана Павлова, д. 22</t>
  </si>
  <si>
    <t>ремонт систем электроснабжения, теплоснабжения, замена узлов управления и регулирования потребления тепловой энергии</t>
  </si>
  <si>
    <t>г. Чебоксары, ул. Космонавта Николаева А.Г., д. 14</t>
  </si>
  <si>
    <t>99</t>
  </si>
  <si>
    <t>100</t>
  </si>
  <si>
    <t>г. Чебоксары, ул. Рихарда Зорге, д. 4</t>
  </si>
  <si>
    <t xml:space="preserve">2018 год </t>
  </si>
  <si>
    <t xml:space="preserve">2019 год </t>
  </si>
  <si>
    <t>2020 год</t>
  </si>
  <si>
    <t>г. Козловка, ул. Лобачевского, д. 9</t>
  </si>
  <si>
    <t>г. Козловка, ул. 30 лет Победы, д. 19</t>
  </si>
  <si>
    <t>ст. Тюрлема, ул. Лесная, д. 4</t>
  </si>
  <si>
    <t>ремонт систем  водоотведения, теплоснабжения</t>
  </si>
  <si>
    <t>г. Чебоксары, ул. Лебедева, д. 3</t>
  </si>
  <si>
    <t>г. Чебоксары, ул. Лебедева, д. 7</t>
  </si>
  <si>
    <t>ремонт систем холодного водоснабжения,  горячего водоснабжения</t>
  </si>
  <si>
    <t>с. Шихазаны, ул. 40 лет Победы, д. 12</t>
  </si>
  <si>
    <t>с. Шихазаны, ул. 40 лет Победы, д. 20</t>
  </si>
  <si>
    <t>г. Новочебоксарск, 
бульвар Зеленый, д. 31</t>
  </si>
  <si>
    <t>г. Новочебоксарск, 
ул. Первомайская,  д. 47</t>
  </si>
  <si>
    <t>г. Чебоксары, 
проезд  Школьный, д. 4</t>
  </si>
  <si>
    <t>г. Чебоксары, 
бульвар Эгерский, д. 14</t>
  </si>
  <si>
    <t>г. Чебоксары, 
бульвар Миттова, д. 24</t>
  </si>
  <si>
    <t>г. Чебоксары, ул. Ленин-
ского Комсомола, д. 36</t>
  </si>
  <si>
    <t>г. Чебоксары, 
просп. Тракторострои-
телей, д. 24</t>
  </si>
  <si>
    <t>с. Аликово, ул. Парковая, 
д. 9</t>
  </si>
  <si>
    <t>г. Чебоксары, 
просп. Тракторостроителей, 
д. 83</t>
  </si>
  <si>
    <t>г. Чебоксары, 
просп. Тракторостроителей, 
д. 36</t>
  </si>
  <si>
    <t>г. Чебоксары, 
просп. Тракторостроителей, 
д. 24</t>
  </si>
  <si>
    <t>г. Чебоксары, 
просп. Московский, 
д. 31А</t>
  </si>
  <si>
    <t>г. Чебоксары, 
просп. Московский, 
д. 31Б</t>
  </si>
  <si>
    <t xml:space="preserve"> г. Чебоксары, 
ул. 324 Стрелковой дивизии, 
д. 13</t>
  </si>
  <si>
    <t>___________________________</t>
  </si>
  <si>
    <t>с. Ишлеи, ул. Советская, 
д. 49</t>
  </si>
  <si>
    <t>г. Ядрин, ул. Некрасова, 
д. 17б</t>
  </si>
  <si>
    <t>г. Ядрин, ул. Шоссейная, 
д. 116</t>
  </si>
  <si>
    <t>с. Янтиково, просп. Ленина, 
д. 31</t>
  </si>
  <si>
    <t>г. Алатырь, мкр. Стрелка, 
д. 15</t>
  </si>
  <si>
    <t>г. Алатырь, ул. Урицкого, 
д. 33</t>
  </si>
  <si>
    <t>г. Алатырь, мкр. Стрелка, 
д. 1</t>
  </si>
  <si>
    <t xml:space="preserve">г. Алатырь, мкр. Стрелка,  
д. 32 </t>
  </si>
  <si>
    <t>г. Алатырь, мкр. Стрелка, 
д. 23</t>
  </si>
  <si>
    <t xml:space="preserve">г. Алатырь, ул. Стрелецкая, 
д. 109 </t>
  </si>
  <si>
    <t>г. Алатырь, ул. Горького, 
д. 36</t>
  </si>
  <si>
    <t>г. Канаш, просп. Ленина, 
д. 27</t>
  </si>
  <si>
    <t>г. Канаш, просп. Ленина, 
д. 40</t>
  </si>
  <si>
    <t>г. Канаш, просп. Ленина, 
д. 42</t>
  </si>
  <si>
    <t>г. Канаш, просп. Ленина, 
д. 46</t>
  </si>
  <si>
    <t>г. Канаш, просп. Ленина, 
д. 50</t>
  </si>
  <si>
    <t>г. Канаш, просп. Ленина, 
д. 55</t>
  </si>
  <si>
    <t>г. Канаш, просп. Ленина,
 д. 59</t>
  </si>
  <si>
    <t>г. Канаш, просп. Ленина, 
д. 62</t>
  </si>
  <si>
    <t>г. Канаш, просп. Ленина, 
д. 67</t>
  </si>
  <si>
    <t>г. Канаш, просп. Ленина, 
д. 68</t>
  </si>
  <si>
    <t>г. Канаш, просп. Ленина, 
д. 71</t>
  </si>
  <si>
    <t>г. Канаш, просп. Ленина, 
д. 75</t>
  </si>
  <si>
    <t>г. Канаш, просп. Ленина, 
д. 77</t>
  </si>
  <si>
    <t>г. Канаш, просп. Ленина, 
д. 83</t>
  </si>
  <si>
    <t>г. Канаш, ул. Московская, 
д. 10</t>
  </si>
  <si>
    <t>г. Канаш, ул. Московская, 
д. 7</t>
  </si>
  <si>
    <t>г. Канаш, ул. Пушкина, 
д. 32</t>
  </si>
  <si>
    <t>г. Канаш, ул. Пушкина, 
д. 42</t>
  </si>
  <si>
    <t>г. Канаш, ул. Пушкина, 
д. 44</t>
  </si>
  <si>
    <t>г. Канаш, ул. Пушкина, 
д. 46</t>
  </si>
  <si>
    <t>г. Канаш, ул. Пушкина, 
д. 56</t>
  </si>
  <si>
    <t>г. Чебоксары, 
просп. Ленина, д. 59</t>
  </si>
  <si>
    <t>г. Чебоксары, 
просп. Ленина, д. 53</t>
  </si>
  <si>
    <t>г. Чебоксары, 
просп. Мира, д. 42</t>
  </si>
  <si>
    <t>г. Чебоксары, 
ул. Гагарина Ю., д. 17</t>
  </si>
  <si>
    <t>г. Чебоксары, 
ул. Гагарина Ю., д. 3</t>
  </si>
  <si>
    <t>пгт Ибреси, ул. Энгельса, 
д. 15</t>
  </si>
  <si>
    <t>с. Комсомольское, 
ул. Заводская, д. 41А</t>
  </si>
  <si>
    <t>с. Красноармейское, 
ул. Ленина, д. 31</t>
  </si>
  <si>
    <t>с. Красноармейское, 
ул. Ленина, д. 57</t>
  </si>
  <si>
    <t>с. Красные Четаи, 
ул. Советская, д. 4а</t>
  </si>
  <si>
    <t xml:space="preserve">г. Мариинский Посад, 
ул. Курчатова, д. 6 </t>
  </si>
  <si>
    <t>г. Канаш, ул. Крупской, д. 7</t>
  </si>
  <si>
    <t>605,41 </t>
  </si>
  <si>
    <t>ст. Тюрлема, ул. Ленина, д. 3</t>
  </si>
  <si>
    <t>ст. Тюрлема, ул. Ленина, д. 4</t>
  </si>
  <si>
    <t>ст. Тюрлема, ул. Ленина, д. 7</t>
  </si>
  <si>
    <t>г. Козловка, ул. Рабочая, д. 3</t>
  </si>
  <si>
    <t>ремонт крыши, ремонт систем водоотведения,  холодного водоснабжения</t>
  </si>
  <si>
    <t>105</t>
  </si>
  <si>
    <t>106</t>
  </si>
  <si>
    <t>107</t>
  </si>
  <si>
    <t>108</t>
  </si>
  <si>
    <t>109</t>
  </si>
  <si>
    <t>110</t>
  </si>
  <si>
    <t>679,40 </t>
  </si>
  <si>
    <t>689,00 </t>
  </si>
  <si>
    <t>г. Козловка, ул. Карла Маркса, д. 18</t>
  </si>
  <si>
    <t>г. Козловка, ул. Карла Маркса, д. 24</t>
  </si>
  <si>
    <t>г. Козловка, ул. Герцена, д. 9</t>
  </si>
  <si>
    <t>ст. Тюрлема, ул. Ленина, д. 8</t>
  </si>
  <si>
    <t>ст. Тюрлема, ул. Молодежная, д. 11</t>
  </si>
  <si>
    <t>ст. Тюрлема, ул. Молодежная, д. 12</t>
  </si>
  <si>
    <t>Итого:  5 домов</t>
  </si>
  <si>
    <t>ремонт крыши,  систем холодного водоснабжения, водоотведения</t>
  </si>
  <si>
    <t>ремонт крыши,  систем холодного водоснабжения,  водоотведения</t>
  </si>
  <si>
    <t>ремонт крыши, системы теплоснабжения, замена узлов управления и регулирования потребления 
тепловой энергии</t>
  </si>
  <si>
    <t>ремонт крыши,  систем водоотведения,  холодного водоснабжения</t>
  </si>
  <si>
    <t>ремонт крыши, систем  водоотведения, холодного водоснабжения</t>
  </si>
  <si>
    <t>ремонт крыши, систем водоотведения,  холодного водоснабжения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</si>
  <si>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</si>
  <si>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</si>
  <si>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</si>
  <si>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</si>
  <si>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</si>
  <si>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</si>
  <si>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</si>
  <si>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</si>
  <si>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</si>
  <si>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</si>
  <si>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</si>
  <si>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</si>
  <si>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г. Чебоксары, бульвар Миттова, д. 24</t>
  </si>
  <si>
    <t>монолит</t>
  </si>
  <si>
    <t>5,7,10</t>
  </si>
  <si>
    <t>5,7,9,10</t>
  </si>
  <si>
    <t>Итого:  5  домов</t>
  </si>
  <si>
    <t>Итого: 23 дома</t>
  </si>
  <si>
    <t>Итого:  139 домов</t>
  </si>
  <si>
    <t>г. Канаш, ул. Машино-
строителей, д. 21</t>
  </si>
  <si>
    <t>г. Канаш, ул. Машино-
строителей, д. 25</t>
  </si>
  <si>
    <t>г. Канаш, ул. Машино-
строителей, д. 29</t>
  </si>
  <si>
    <t>г. Канаш, ул. Машино-
строителей, д. 5</t>
  </si>
  <si>
    <t>г. Канаш, ул. Машино-
строителей, д. 27</t>
  </si>
  <si>
    <t>г. Чебоксары, ул. Совхозная (пгт Новые Лапсары), 
д. 17</t>
  </si>
  <si>
    <t xml:space="preserve">ремонт систем теплоснабжения,  электроснабжения, холодного водоснабжения,  водоотведения, 
замена 
узлов управления и регулирования потребления 
тепловой энергии  </t>
  </si>
  <si>
    <t>ремонт систем теплоснабжения,  водоотведения, 
замена 
узлов управления и регулирования потребления 
тепловой энергии</t>
  </si>
  <si>
    <t>ремонт крыши, 
систем  
водоотведения,  электроснабжения</t>
  </si>
  <si>
    <t>ремонт крыши, 
систем  
водоотведения,   холодного водоснабжения,   электроснабжения</t>
  </si>
  <si>
    <t>ремонт фасада, 
крыши</t>
  </si>
  <si>
    <t>г. Чебоксары,
ул. Ленинградская, д. 28</t>
  </si>
  <si>
    <t>г. Чебоксары,
ул. Ленинградская, д. 31</t>
  </si>
  <si>
    <t>г. Чебоксары, 
ул. К. Маркса, д. 17/12</t>
  </si>
  <si>
    <t>г. Чебоксары, 
ул. К. Маркса, д. 24</t>
  </si>
  <si>
    <t>г. Чебоксары, 
ул. К. Маркса, д. 31</t>
  </si>
  <si>
    <t>г. Чебоксары, 
ул. К. Маркса, д. 31а</t>
  </si>
  <si>
    <t>г. Чебоксары, 
ул. К. Маркса, д. 33</t>
  </si>
  <si>
    <t>г. Чебоксары, 
ул. К. Маркса, д. 35</t>
  </si>
  <si>
    <t>г. Чебоксары, 
ул. К. Маркса, д. 42</t>
  </si>
  <si>
    <t>г. Чебоксары, 
ул. К. Маркса, д. 44</t>
  </si>
  <si>
    <t>г. Чебоксары, 
ул. К. Маркса, д. 46</t>
  </si>
  <si>
    <t>г. Чебоксары, 
ул. К. Маркса, д. 51</t>
  </si>
  <si>
    <t>г. Чебоксары, ул. 50 лет Октября, д. 16</t>
  </si>
  <si>
    <t xml:space="preserve"> г. Чебоксары, ул. Рихарда Зорге, д. 7</t>
  </si>
  <si>
    <t>ремонт систем  горячего водоснабжения, теплоснабжения, замена узлов управления и регулирования потребления 
тепловой энергии</t>
  </si>
  <si>
    <t>г. Канаш, мкр. Восточный, д. 2</t>
  </si>
  <si>
    <t>Итого:  34  дома</t>
  </si>
  <si>
    <t>Итого:  105 домов</t>
  </si>
  <si>
    <t>пгт Ибреси, ул. Коминтерна, 
д. 10</t>
  </si>
  <si>
    <t>с. Красные Четаи, ул. Новая,  
д. 7</t>
  </si>
  <si>
    <t>с. Яльчики, ул. Октябрьская, 
д. 26</t>
  </si>
  <si>
    <t>г. Чебоксары, ул. Ашмарина, 
д. 10Б</t>
  </si>
  <si>
    <t>г. Чебоксары, ул. Ашмарина, 
д. 2</t>
  </si>
  <si>
    <t>г. Чебоксары, ул. Ашмарина, 
д. 4</t>
  </si>
  <si>
    <t>г. Чебоксары, ул. Ашмарина, 
д. 40</t>
  </si>
  <si>
    <t>г. Чебоксары, ул. Ашмарина, 
д. 44</t>
  </si>
  <si>
    <t>г. Чебоксары, ул. Ашмарина, 
д. 6</t>
  </si>
  <si>
    <t>г. Чебоксары, ул. Богдана Хмельницкого, 
д. 48, корп. 1</t>
  </si>
  <si>
    <t>г. Чебоксары, 
ул. Ленинского Комсомола, 
д. 20</t>
  </si>
  <si>
    <t>г. Чебоксары, ул. Шумилова, 
д. 19</t>
  </si>
  <si>
    <t>г. Чебоксары, ул. Кон-
стантина Иванова, д. 76/14</t>
  </si>
  <si>
    <t>г. Чебоксары, ул. Яблочкова, 
д. 14</t>
  </si>
  <si>
    <t>г. Чебоксары, ул. Маршака, 
д. 14, корп. 1</t>
  </si>
  <si>
    <t>г. Чебоксары, ул. Шумилова, 
д. 29</t>
  </si>
  <si>
    <t>пгт  Ибреси, ул. Маресьева, 
д. 51</t>
  </si>
  <si>
    <t>пгт  Ибреси, ул. Маресьева, 
д. 9</t>
  </si>
  <si>
    <t>пгт Урмары, ул. Заводская, 
д. 38</t>
  </si>
  <si>
    <t>пгт Урмары, ул. Заводская, 
д. 33</t>
  </si>
  <si>
    <t>д. Таушкасы, ул. Шоссейная, 
д. 1</t>
  </si>
  <si>
    <t>д. Таушкасы, ул. Шоссейная, 
д. 3</t>
  </si>
  <si>
    <t>г. Цивильск, ул. Юбилейная, 
д. 13/2</t>
  </si>
  <si>
    <t>г. Цивильск, ул. Шоссейная, 
д. 16</t>
  </si>
  <si>
    <t>г. Цивильск, ул. Юбилейная, 
д. 9</t>
  </si>
  <si>
    <t>пгт Кугеси, ул. Шоршелская, 
д. 3</t>
  </si>
  <si>
    <t>г. Ядрин, ул. 50 лет Октября, 
д. 66</t>
  </si>
  <si>
    <t>г. Ядрин, ул. 50 лет Октября, 
д. 71б</t>
  </si>
  <si>
    <t>г. Канаш, пер. Спортивный, 
д. 1</t>
  </si>
  <si>
    <t>г. Канаш, ул. Машино-
строителей, д. 1</t>
  </si>
  <si>
    <t>г. Чебоксары, ул. Ашмарина, 
д. 36</t>
  </si>
  <si>
    <t>г. Чебоксары, ул. Плеханова, 
д. 11/16</t>
  </si>
  <si>
    <t>г. Чебоксары, ул. Шумилова, 
д. 23</t>
  </si>
  <si>
    <t>г. Чебоксары, ул. Шумилова, 
д. 27</t>
  </si>
  <si>
    <t>г. Чебоксары, ул. Шумилова, 
д. 31</t>
  </si>
  <si>
    <t>с. Аликово, ул. Октябрьская, 
д. 17</t>
  </si>
  <si>
    <t>д. Таушкасы, ул. Шоссейная, 
д. 2</t>
  </si>
  <si>
    <t>г. Ядрин, ул. 50 лет Октября, 
д. 20</t>
  </si>
  <si>
    <t>г. Ядрин, ул. 50 лет Октября, 
д. 37</t>
  </si>
  <si>
    <t>г. Канаш, ул. 30 лет Победы, 
д. 107</t>
  </si>
  <si>
    <t>г. Канаш, ул. 30 лет Победы, 
д. 17</t>
  </si>
  <si>
    <t>г. Новочебоксарск, 
проезд Энергетиков, д. 1</t>
  </si>
  <si>
    <t>г. Новочебоксарск, 
проезд Энергетиков, д. 13</t>
  </si>
  <si>
    <t>г. Чебоксары, 
ул. Ленинского Комсомола, 
д. 8</t>
  </si>
  <si>
    <t>ремонт крыши, систем холодного водоснабжения, теплоснабжения, 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</si>
  <si>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систем теплоснабжения,  холодного водоснабжения,  горячего водоснабжения, 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</si>
  <si>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крыши, систем холодного водоснабжения, горячего водоснабжения, теплоснабжения,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</si>
  <si>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замена лифтов, ремонт машинных и блочных помещений</t>
  </si>
  <si>
    <t>ремонт системы электроснабжения, замена лифтов, ремонт машинных и блочных помещений</t>
  </si>
  <si>
    <t>замена лифтов, ремонт машинных и блочных помещений, ремонт системы электроснабжения</t>
  </si>
  <si>
    <t>Ремонт, замена, модернизация лифтов, ремонт лифтовых шахт,  машинных и блочных помещений</t>
  </si>
  <si>
    <t>ремонт (утепление) фасада</t>
  </si>
  <si>
    <t xml:space="preserve"> ремонт (утепление) фасада</t>
  </si>
  <si>
    <t>ремонт систем горячего водоснабжения,  холодного водоснабжения,  водоотведения</t>
  </si>
  <si>
    <t>ремонт систем теплоснабжения, холодного водоснабжения,  горячего водоснабжения, водоотведения,  электроснабжения</t>
  </si>
  <si>
    <t>ремонт систем теплоснабжения, горячего водоснабжения,  холодного водоснабжения, электроснабжения</t>
  </si>
  <si>
    <t>ремонт систем теплоснабжения, горячего водоснабжения, холодного водоснабжения, водоотведения</t>
  </si>
  <si>
    <t>Красноармейский  район</t>
  </si>
  <si>
    <t>Мариинско-Посадский  район</t>
  </si>
  <si>
    <t>Моргаушский  район</t>
  </si>
  <si>
    <t>на счете рег. оператора</t>
  </si>
  <si>
    <t>Мариинско-Посадский район</t>
  </si>
  <si>
    <t>Моргаушский район</t>
  </si>
  <si>
    <t>Порецкий  район</t>
  </si>
  <si>
    <t>Порецкий район</t>
  </si>
  <si>
    <t>Янтиковский  район</t>
  </si>
  <si>
    <t>Ядринский район</t>
  </si>
  <si>
    <t>Ядринский  район</t>
  </si>
  <si>
    <t>Ибресинский  район</t>
  </si>
  <si>
    <t>Аликовский  район</t>
  </si>
  <si>
    <t>г. Алатырь</t>
  </si>
  <si>
    <t>г. Канаш</t>
  </si>
  <si>
    <t>г.  Новочебоксарск</t>
  </si>
  <si>
    <t>г.  Чебоксары</t>
  </si>
  <si>
    <t>г. Новочебоксарск</t>
  </si>
  <si>
    <t>г. Шумерля</t>
  </si>
  <si>
    <t>г. Чебоксары</t>
  </si>
  <si>
    <t>Чебоксарский район</t>
  </si>
  <si>
    <t>Чебоксарский  район</t>
  </si>
  <si>
    <t>Комсомольский район</t>
  </si>
  <si>
    <t xml:space="preserve">Итого по району 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</si>
  <si>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</si>
  <si>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</si>
  <si>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г. Чебоксары, 
ул. Ленинградская, д. 21</t>
  </si>
  <si>
    <t>г. Чебоксары, ул. Ленин-
ского Комсомола, д. 44</t>
  </si>
  <si>
    <t>г. Чебоксары, ул. Петрова, 
д. 2</t>
  </si>
  <si>
    <t>г. Чебоксары, ул. Чапаева, 
д. 20</t>
  </si>
  <si>
    <t>г. Чебоксары, ул. Эльгера, 
д. 28</t>
  </si>
  <si>
    <t>г. Чебоксары, 
ул. Гагарина Ю., д. 36</t>
  </si>
  <si>
    <t>г. Чебоксары, 
ул. Гагарина Ю., д. 51</t>
  </si>
  <si>
    <t>г. Чебоксары, 
ул. Гражданская, д. 58</t>
  </si>
  <si>
    <t>г. Чебоксары, 
ул. Гузовского, д. 24</t>
  </si>
  <si>
    <t>г. Чебоксары, 
ул. Дзержинского, д. 16</t>
  </si>
  <si>
    <t>г. Чебоксары, 
ул. Короленко, д. 12</t>
  </si>
  <si>
    <t>г. Чебоксары, 
ул. Короленко, д. 14</t>
  </si>
  <si>
    <t>г. Чебоксары, 
ул. Ленинградская, д. 31</t>
  </si>
  <si>
    <t>г. Чебоксары, 
ул. М.А. Сапожникова, д. 14</t>
  </si>
  <si>
    <t>замена лифтов и лифтового оборудования</t>
  </si>
  <si>
    <t>с. Батырево, просп. Ленина, 
д. 53</t>
  </si>
  <si>
    <t>пгт Вурнары, ул. Ленина, 
д. 107</t>
  </si>
  <si>
    <t>пгт Вурнары, ул. Советская, 
д. 10</t>
  </si>
  <si>
    <t>ст. Тюрлема, ул. Ленина, 
д. 1</t>
  </si>
  <si>
    <t>ст. Тюрлема, ул. Лесная, 
д. 4</t>
  </si>
  <si>
    <t>ст. Тюрлема, ул. Ленина, 
д. 5</t>
  </si>
  <si>
    <t>г. Козловка, ул. Ленкина, 
д. 7</t>
  </si>
  <si>
    <t>ремонт крыши,  систем холодного водоснабжения, водоотведения,  электроснабжения</t>
  </si>
  <si>
    <t>с. Яльчики, ул. Андреева, д. 6</t>
  </si>
  <si>
    <t>г. Чебоксары, ул. Космонавта Николаева А.Г., д. 40, корп. 1</t>
  </si>
  <si>
    <t>г. Чебоксары, ул. Космонавта Николаева А.Г., д. 47</t>
  </si>
  <si>
    <t xml:space="preserve"> 1967</t>
  </si>
  <si>
    <t>г. Чебоксары, ул. Космонавта Николаева А.Г., д. 5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</si>
  <si>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</si>
  <si>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</si>
  <si>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7, корп. 2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</si>
  <si>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</si>
  <si>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</si>
  <si>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8, корп. 1</t>
  </si>
  <si>
    <t>г. Чебоксары, ул. Т. Кривова, д. 14</t>
  </si>
  <si>
    <t>г. Чебоксары, ул. Т. Кривова, д. 17</t>
  </si>
  <si>
    <t>спецсчет</t>
  </si>
  <si>
    <t>г. Чебоксары, ул. Хевешская, д. 25</t>
  </si>
  <si>
    <t>г. Чебоксары, ул. Шумилова, д. 19</t>
  </si>
  <si>
    <t>г. Чебоксары, ул. Яблочкова, д. 14</t>
  </si>
  <si>
    <t>1956</t>
  </si>
  <si>
    <t>г. Чебоксары, бульвар Эгерский, д. 14</t>
  </si>
  <si>
    <t>г. Чебоксары, проезд Школьный, д. 10</t>
  </si>
  <si>
    <t>ремонт крыши, ремонт системы теплоснабжения, замена узлов управления и регулирования потребления тепловой энергии</t>
  </si>
  <si>
    <t>ремонт подвальных помещений, системы теплоснабжения, замена узлов управления и регулирования потребления тепловой энергии</t>
  </si>
  <si>
    <t>г. Чебоксары, ул. Николая Ильбекова, д. 3</t>
  </si>
  <si>
    <t>г. Чебоксары, ул. Николая Ильбекова, д. 7</t>
  </si>
  <si>
    <t>г. Чебоксары, ул. Мичмана Павлова, д. 2</t>
  </si>
  <si>
    <t>г. Чебоксары, ул. Мичмана Павлова, д. 16</t>
  </si>
  <si>
    <t>г. Чебоксары, просп. Ленина, д. 56</t>
  </si>
  <si>
    <t>г. Чебоксары, просп. Ленина, д. 55</t>
  </si>
  <si>
    <t>г. Новочебоксарск, 
ул. Ж. Крутовой, д. 11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</si>
  <si>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</si>
  <si>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</si>
  <si>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Итого:  1 дом</t>
  </si>
  <si>
    <t>Итого по городу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</si>
  <si>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</si>
  <si>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</si>
  <si>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</si>
  <si>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</si>
  <si>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</si>
  <si>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</si>
  <si>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</si>
  <si>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</si>
  <si>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г. Чебоксары, 
бульвар Эгерский, 
д. 5</t>
  </si>
  <si>
    <t>г. Чебоксары, 
пл. И.Ф. Скворцова, д. 3</t>
  </si>
  <si>
    <t>г. Чебоксары, просп. Мира, 
д. 26</t>
  </si>
  <si>
    <t>г. Чебоксары, 
ул. 139 Стрелковой дивизии, 
д. 18</t>
  </si>
  <si>
    <t>г. Чебоксары, 
ул. 324 Стрелковой дивизии, 
д. 5</t>
  </si>
  <si>
    <t>г. Чебоксары, 
ул. Гагарина Ю., 
д. 3, корп. 2</t>
  </si>
  <si>
    <t>г. Чебоксары, 
ул. Гагарина Ю., д. 5</t>
  </si>
  <si>
    <t>г. Чебоксары, 
ул. Гражданская, д. 60, 
корп. 1</t>
  </si>
  <si>
    <t>г. Чебоксары, ул. Калинина, 
д. 104</t>
  </si>
  <si>
    <t>г. Чебоксары, ул. Калинина, 
д. 104, корп. 1</t>
  </si>
  <si>
    <t>г. Чебоксары, 
ул. Константина Иванова, 
д. 78</t>
  </si>
  <si>
    <t>г. Чебоксары, 
ул. Константина Иванова, 
д. 82</t>
  </si>
  <si>
    <t>г. Чебоксары, 
ул. Константина Иванова, 
д. 98</t>
  </si>
  <si>
    <t>г. Чебоксары, ул. Маршака, 
д. 14</t>
  </si>
  <si>
    <t>г. Чебоксары, ул. Маршака, 
д. 16</t>
  </si>
  <si>
    <t>г. Чебоксары, ул. Хузангая, 
д. 2</t>
  </si>
  <si>
    <t>г. Чебоксары, ул. Хузангая, 
д. 32</t>
  </si>
  <si>
    <t>г. Чебоксары, ул. Хузангая, 
д. 7</t>
  </si>
  <si>
    <t>г. Чебоксары, ул. Энгельса, 
д. 38</t>
  </si>
  <si>
    <t>г. Чебоксары, ул. Энгельса, 
д. 48</t>
  </si>
  <si>
    <t>г. Чебоксары, 
проезд Школьный, 
д. 10</t>
  </si>
  <si>
    <t>с. Батырево, ул. Мичурина, 
д. 5</t>
  </si>
  <si>
    <t>пгт Вурнары, 
пер. Тракторный, д. 2а</t>
  </si>
  <si>
    <t>пгт Ибреси, ул. Маресьева, 
д. 53</t>
  </si>
  <si>
    <t>с. Комсомольское, 
мкр. К. Антонова, д. 12</t>
  </si>
  <si>
    <t>г. Мариинский Посад, 
ул. Советская, д. 3</t>
  </si>
  <si>
    <t>ремонт систем горячего водоснабжения,  холодного водоснабжения, водоотведения, теплоснабжения, замена узлов управления и регулирования потребления 
тепловой энергии, замена узлов управления и регулирования потребления 
горячей воды</t>
  </si>
  <si>
    <t>г. Чебоксары, просп. Ленина, д. 11А</t>
  </si>
  <si>
    <t xml:space="preserve">ремонт системы электроснабжения, подвальных помещений, энергетическое обследование </t>
  </si>
  <si>
    <t>г. Чебоксары, 
просп. Ленина, д. 11А</t>
  </si>
  <si>
    <t>г. Новочебоксарск, 
ул. Первомайская, д. 47</t>
  </si>
  <si>
    <t>г. Шумерля, ул. Котовского, 
д. 52</t>
  </si>
  <si>
    <t>г. Чебоксары, 
ул. Социалистическая, д. 13</t>
  </si>
  <si>
    <t>г. Чебоксары, ул. Лебедева, 
д. 3</t>
  </si>
  <si>
    <t>г. Чебоксары, ул. Лебедева, 
д. 7</t>
  </si>
  <si>
    <t>г. Чебоксары, 
ул. Университетская, 
д. 20, корп. 1</t>
  </si>
  <si>
    <t>г. Чебоксары, 
ул. Университетская, д. 35</t>
  </si>
  <si>
    <t>пгт Вурнары, 
ул. Комсомольская, д. 3</t>
  </si>
  <si>
    <t>пгт Урмары, 
ул. Механизаторов, д. 2</t>
  </si>
  <si>
    <t>пгт Кугеси, ул. Шоссейная, 
д. 33</t>
  </si>
  <si>
    <t>г. Ядрин, 
ул. Красноармейская, д. 3а</t>
  </si>
  <si>
    <t>керам-
зито-
бетон-
ный блок</t>
  </si>
  <si>
    <t>с. Яльчики, ул. Юбилейная, 
д. 9</t>
  </si>
  <si>
    <t>с. Янтиково, просп. Ленина, 
д. 26</t>
  </si>
  <si>
    <t>шлако-
блоч-
ный</t>
  </si>
  <si>
    <t>г. Канаш, ул. Куйбышева, 
д. 20</t>
  </si>
  <si>
    <t>г. Канаш, пер. Спортивный,
 д. 1</t>
  </si>
  <si>
    <t>г. Канаш, 
ул. Железнодорожная, д. 18</t>
  </si>
  <si>
    <t>г. Канаш, 
ул. Железнодорожная, д. 271</t>
  </si>
  <si>
    <t>г. Канаш, 
ул. Железнодорожная, д. 272</t>
  </si>
  <si>
    <t>г. Канаш, 
ул. Железнодорожная, д. 274</t>
  </si>
  <si>
    <t>г. Канаш, 
ул. Машиностроителей, д. 21</t>
  </si>
  <si>
    <t>г. Канаш, 
ул. Машиностроителей, д. 25</t>
  </si>
  <si>
    <t>г. Канаш, 
ул. Машиностроителей, д. 29</t>
  </si>
  <si>
    <t>г. Канаш, 
ул. Машиностроителей, д. 5</t>
  </si>
  <si>
    <t>г. Канаш, 
ул. Машиностроителей, д. 1</t>
  </si>
  <si>
    <t>г. Канаш, 
ул. Машиностроителей, д. 27</t>
  </si>
  <si>
    <t>ремонт крыши, систем теплоснабжения, холодного водоснабжения, замена узлов управления и регулирования потребления тепловой энергии</t>
  </si>
  <si>
    <t>ремонт крыши, систем теплоснабжения,  водоотведения,  холодного водоснабжения, замена узлов управления и регулирования потребления тепловой энергии</t>
  </si>
  <si>
    <t>ремонт крыши, систем холодного водоснабжения,  теплоснабжения, замена узлов управления и регулирования потребления тепловой энергии</t>
  </si>
  <si>
    <t>ремонт крыши,  систем холодного водоснабжения, теплоснабжения, замена узлов управления и регулирования потребления тепловой энергии</t>
  </si>
  <si>
    <t xml:space="preserve">ремонт крыши, систем водоотведения,  электроснабжения, теплоснабжения, замена узлов управления и регулирования потребления тепловой энергии  </t>
  </si>
  <si>
    <t>ремонт крыши, систем холодного водоснабжения, водоотведения,  теплоснабжения, замена узлов управления и регулирования потребления тепловой энергии</t>
  </si>
  <si>
    <t>г. Новочебоксарск, 
ул. Парковая, д. 13</t>
  </si>
  <si>
    <t>г. Новочебоксарск, 
ул. Заводская,  д. 16</t>
  </si>
  <si>
    <t>г. Новочебоксарск, 
ул. Набережная, д. 23</t>
  </si>
  <si>
    <t>г. Новочебоксарск, 
ул. Коммунистическая, д. 32</t>
  </si>
  <si>
    <t>г. Новочебоксарск, 
ул. Ж. Крутовой, д. 5</t>
  </si>
  <si>
    <t>г. Новочебоксарск, 
ул. 10 Пятилетки, д. 5</t>
  </si>
  <si>
    <t>г. Новочебоксарск, 
ул. Семенова, д. 7</t>
  </si>
  <si>
    <t>г. Новочебоксарск, 
ул. 10 Пятилетки, д. 56</t>
  </si>
  <si>
    <t>г. Новочебоксарск, 
ул. Ж. Крутовой, д. 19</t>
  </si>
  <si>
    <t>г. Новочебоксарск, 
ул. Семенова, д. 5</t>
  </si>
  <si>
    <t>г. Новочебоксарск, 
ул. Семенова, д. 19</t>
  </si>
  <si>
    <t>г. Чебоксары, 
ул. Дзержинского, д. 20</t>
  </si>
  <si>
    <t>г. Чебоксары, 
ул. Дзержинского, д.  25</t>
  </si>
  <si>
    <t xml:space="preserve">ремонт системы теплоснабжения </t>
  </si>
  <si>
    <t>2018 год</t>
  </si>
  <si>
    <t>г. Канаш, ул. Пушкина, д. 42</t>
  </si>
  <si>
    <t>переустройство плоской крыши на скатную крышу</t>
  </si>
  <si>
    <t>г. Канаш, ул. Крупской, д. 9</t>
  </si>
  <si>
    <t>с. Первомайское, ул. Лесная, 
д. 3</t>
  </si>
  <si>
    <t>с. Комсомольское, тер. РТП, 
д. 15</t>
  </si>
  <si>
    <t>с. Моргауши, ул. Восточная, 
д. 6</t>
  </si>
  <si>
    <t>г. Чебоксары, просп. Ленина, д. 44</t>
  </si>
  <si>
    <t>г. Чебоксары, просп. Ленина, д. 46</t>
  </si>
  <si>
    <t>г. Чебоксары, просп. Ленина, д. 51, корп. 1</t>
  </si>
  <si>
    <t>г. Чебоксары, просп. Ленина, д. 53</t>
  </si>
  <si>
    <t>г. Чебоксары, просп. Ленина, д. 59</t>
  </si>
  <si>
    <t>г. Канаш, просп. Ленина, 
д. 37</t>
  </si>
  <si>
    <t>г. Новочебоксарск, 
пер. Химиков, д. 1</t>
  </si>
  <si>
    <t>г. Новочебоксарск, 
пер. Химиков, д. 2</t>
  </si>
  <si>
    <t>г. Новочебоксарск, 
пер. Химиков, д. 3</t>
  </si>
  <si>
    <t>г. Новочебоксарск, 
пер. Химиков, д. 4</t>
  </si>
  <si>
    <t>ремонт систем электроснабжения, горячего водоснабжения,  холодного водоснабжения, замена узлов управления и регулирования потребления горячей воды</t>
  </si>
  <si>
    <t>ремонт систем холодного водоснабжения, водоотведения, горячего водоснабжения, теплоснабжения, замена узлов управления и регулирования потребления 
тепловой энергии</t>
  </si>
  <si>
    <t>ремонт систем теплоснабжения, холодного водоснабжения, электроснабжения,  водоотведения,  замена узлов управления и регулирования потребления тепловой энергии</t>
  </si>
  <si>
    <t>ремонт крыши, системы электроснабжения, замена узлов управления и регулирования потребления тепловой энергии и горячей воды</t>
  </si>
  <si>
    <t>ремонт систем холодного водоснабжения,  горячего водоснабжения,   водоотведения</t>
  </si>
  <si>
    <t>ремонт систем водоотведения, теплоснабжения,  горячего водоснабжения,  холодного водоснабжения, замена узлов управления и регулирования потребления 
тепловой энергии и горячей воды</t>
  </si>
  <si>
    <t>ремонт фасада (утепление), 
систем  
водоотведения, холодного водоснабжения, горячего водоснабжения, электроснабжения, замена узлов управления и регулирования потребления 
горячей воды</t>
  </si>
  <si>
    <t>ремонт систем холодного водоснабжения,  теплоснабжения,   водоотведения</t>
  </si>
  <si>
    <t>замена узлов управления и регулирования потребления тепловой энергии и горячей воды</t>
  </si>
  <si>
    <t>ремонт систем холодного водоснабжения, горячего водоснабжения, водоотведения, замена узлов управления и регулирования потребления горячей воды</t>
  </si>
  <si>
    <t>ремонт систем холодного водоснабжения,  водоотведения, подвальных помещений</t>
  </si>
  <si>
    <t>ремонт крыши, системы  холодного водоснабжения</t>
  </si>
  <si>
    <t xml:space="preserve">ремонт систем теплоснабжения, водоотведения,  замена узлов управления и регулирования потребления тепловой энергии </t>
  </si>
  <si>
    <t xml:space="preserve">ремонт систем холодного водоснабжения, теплоснабжения, замена узлов управления и регулирования потребления тепловой энергии </t>
  </si>
  <si>
    <t>Итого: 1  дом</t>
  </si>
  <si>
    <t xml:space="preserve">ремонт системы теплоснабжения, замена узлов управления и регулирования потребления тепловой энергии </t>
  </si>
  <si>
    <t xml:space="preserve">ремонт системы  теплоснабжения, замена узлов управления и регулирования потребления тепловой энергии </t>
  </si>
  <si>
    <t xml:space="preserve">ремонт систем теплоснабжения, холодного водоснабжения, замена узлов управления и регулирования потребления тепловой энергии </t>
  </si>
  <si>
    <t xml:space="preserve">ремонт систем электроснабжения,  водоотведения, теплоснабжения, замена узлов управления и регулирования потребления тепловой энергии </t>
  </si>
  <si>
    <t>ремонт  системы холодного водоснабжения</t>
  </si>
  <si>
    <t>ремонт систем холодного водоснабжения, водоотведения, горячего водоснабжения, замена узлов управления и регулирования потребления горячей воды</t>
  </si>
  <si>
    <t>ремонт системы теплоснабжения, замена узлов управления и регулирования потребления 
тепловой энергии и горячей воды</t>
  </si>
  <si>
    <t>Итого: 8 домов</t>
  </si>
  <si>
    <t>Итого: 18 домов</t>
  </si>
  <si>
    <t>ремонт систем теплоснабжения, горячего водоснабжения,  водоотведения,  холодного водоснабжения, замена узлов управления и регулирования потребления тепловой энергии и горячей воды</t>
  </si>
  <si>
    <t>98</t>
  </si>
  <si>
    <t>97</t>
  </si>
  <si>
    <t>95</t>
  </si>
  <si>
    <t>96</t>
  </si>
  <si>
    <t>ремонт крыши,  систем холодного водоснабжения,  теплоснабжения,    водоотведения, горячего водоснабжения, замена узлов управления и регулирования потребления тепловой энергии и горячей воды</t>
  </si>
  <si>
    <t>ремонт систем электроснабжения, водоотведения, холодного водоснабжения, теплоснабжения, замена узлов управления и регулирования потребления 
тепловой энергии</t>
  </si>
  <si>
    <t>ремонт систем теплоснабжения, холодного водоснабжения, водоотведения,  электроснабжения, замена узлов управления и регулирования потребления 
тепловой энергии</t>
  </si>
  <si>
    <t>ремонт крыши, 
систем  
водоотведения, электроснабжения, теплоснабжения, замена узлов управления и регулирования потребления 
тепловой энергии</t>
  </si>
  <si>
    <t>ремонт систем теплоснабжения, электроснабжения,  водоотведения, холодного водоснабжения, замена узлов управления и регулирования потребления 
тепловой энергии</t>
  </si>
  <si>
    <t>ремонт подвальных помещений, системы теплоснабжения, замена узлов управления и регулирования потребления 
тепловой энергии</t>
  </si>
  <si>
    <t>пос. Конар, ул. Школьная, 
д.  3</t>
  </si>
  <si>
    <t>ремонт крыши, 
систем холодного водоснабжения,  теплоснабжения</t>
  </si>
  <si>
    <t>г. Канаш, ул. 30 лет Победы, д. 107</t>
  </si>
  <si>
    <t>г. Канаш, ул. 30 лет Победы, д. 17</t>
  </si>
  <si>
    <t>г. Канаш, просп. Ленина, д. 43</t>
  </si>
  <si>
    <t>г. Чебоксары, ул. Космонавта Николаева А.Г., д. 12</t>
  </si>
  <si>
    <t xml:space="preserve"> 1961</t>
  </si>
  <si>
    <t>г. Чебоксары, ул. Космонавта Николаева А.Г., д. 2</t>
  </si>
  <si>
    <t xml:space="preserve"> 1959</t>
  </si>
  <si>
    <t>ремонт системы газоснабжения</t>
  </si>
  <si>
    <t>г. Новочебоксарск,
ул. Ж. Крутовой, д. 13</t>
  </si>
  <si>
    <t>ремонт систем водоотведения, электроснабжения</t>
  </si>
  <si>
    <t>ремонт систем водоотведения, электроснабжения, холодного водоснабжения</t>
  </si>
  <si>
    <t>ремонт систем водоотведения, электроснабжения,  холодного водоснабжения,  теплоснабжения</t>
  </si>
  <si>
    <t>ремонт систем холодного водоснабжения, водоотведения,  теплоснабжения</t>
  </si>
  <si>
    <t>ремонт систем холодного водоснабжения, водоотведения, теплоснабжения</t>
  </si>
  <si>
    <t>ремонт систем холодного водоснабжения,  водоотведения, электроснабжения,  теплоснабжения</t>
  </si>
  <si>
    <t>ремонт систем водоотведения, теплоснабжения</t>
  </si>
  <si>
    <t xml:space="preserve">ремонт системы водоотведения </t>
  </si>
  <si>
    <t>ремонт систем горячего водоснабжения, холодного водоснабжения, теплоснабжения, водоотведения</t>
  </si>
  <si>
    <t>ремонт систем теплоснабжения,  водоотведения,  электроснабжения</t>
  </si>
  <si>
    <t>ремонт систем горячего водоснабжения,  холодного водоснабжения,  теплоснабжения, водоотведения</t>
  </si>
  <si>
    <t>ремонт систем горячего водоснабжения,  холодного водоснабжения, теплоснабжения,  водоотведения</t>
  </si>
  <si>
    <t>ремонт систем водоотведения,  электроснабжения</t>
  </si>
  <si>
    <t>ремонт систем горячего водоснабжения,  холодного водоснабжения,  теплоснабжения,  водоотведения</t>
  </si>
  <si>
    <t>ремонт систем холодного водоснабжения,  водоотведения,  электроснабжения, горячего водоснабжения</t>
  </si>
  <si>
    <t>1961</t>
  </si>
  <si>
    <t>ремонт системы теплоснабжения и замена узлов управления и регулирования потребления тепловой энергии</t>
  </si>
  <si>
    <t>1965</t>
  </si>
  <si>
    <t>1972</t>
  </si>
  <si>
    <t>1970</t>
  </si>
  <si>
    <t xml:space="preserve">ремонт крыши, системы водоотведения                                               </t>
  </si>
  <si>
    <t>ремонт систем теплоснабжения, электроснабжения</t>
  </si>
  <si>
    <t>ремонт систем теплоснабжения, холодного водоснабжения, водоотведения</t>
  </si>
  <si>
    <t>ремонт систем теплоснабжения, водоотведения, электроснабжения</t>
  </si>
  <si>
    <t>Итого:  3  дома</t>
  </si>
  <si>
    <t>Итого:  2  дома</t>
  </si>
  <si>
    <t>с. Аликово, ул. Октябрьская, д. 17</t>
  </si>
  <si>
    <t>Итого: 5  домов</t>
  </si>
  <si>
    <t>Итого:  9 домов</t>
  </si>
  <si>
    <t>Итого: 3  дома</t>
  </si>
  <si>
    <t>г. Чебоксары, 
ул. Короленко, д. 10</t>
  </si>
  <si>
    <t>г. Чебоксары, 
ул. Чапаева, д. 5</t>
  </si>
  <si>
    <t>Ибресинский район</t>
  </si>
  <si>
    <t>г. Алатырь, 
ул. Первомайская,  д. 78</t>
  </si>
  <si>
    <t>г. Чебоксары, ул. Гагари-
на Ю., д. 3, корп. 2</t>
  </si>
  <si>
    <t>г. Чебоксары, ул. Гагари-
на Ю., д. 5</t>
  </si>
  <si>
    <t>г. Чебоксары, 
ул. Хевешская, д. 31А</t>
  </si>
  <si>
    <t>г. Чебоксары, 
ул. Хевешская, д. 5</t>
  </si>
  <si>
    <t>г. Чебоксары, ул. Ашмарина, д. 36</t>
  </si>
  <si>
    <t>г. Чебоксары, просп. 9-й Пятилетки, д. 20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</si>
  <si>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</si>
  <si>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</si>
  <si>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</si>
  <si>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</si>
  <si>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ул. 50 лет Октября, д. 18/45</t>
  </si>
  <si>
    <t>г. Чебоксары, ул. 50 лет Октября, д. 24, корп. 1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</si>
  <si>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</si>
  <si>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</si>
  <si>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</si>
  <si>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Богдана Хмельницкого, д. 81</t>
  </si>
  <si>
    <t>г. Чебоксары, ул. Гузовского, д. 1</t>
  </si>
  <si>
    <t>15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</si>
  <si>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</si>
  <si>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</si>
  <si>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</si>
  <si>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</si>
  <si>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</si>
  <si>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</si>
  <si>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д. Челкумаги, ул. Гагарина, 
д. 5</t>
  </si>
  <si>
    <t>с. Красноармейское, 
ул. Г. Степанова, д. 34</t>
  </si>
  <si>
    <t>с. Порецкое, ул. Ленина, 
д. 157</t>
  </si>
  <si>
    <t>г. Чебоксары, 
просп. 9-й Пятилетки, 
д. 4А</t>
  </si>
  <si>
    <t>г. Чебоксары, 
ул. Композитора Максимова, 
д. 2/5</t>
  </si>
  <si>
    <t>г. Чебоксары, 
ул. Константина Иванова, 
д. 17</t>
  </si>
  <si>
    <t>ремонт крыши, подвальных помещений, системы электроснабжения</t>
  </si>
  <si>
    <t>г. Козловка, ул. Герцена, д. 4</t>
  </si>
  <si>
    <t>с. Шихазаны, ул. 40 лет Победы, д. 8</t>
  </si>
  <si>
    <t>г. Козловка, ул. Чкалова, д. 10</t>
  </si>
  <si>
    <t>г. Мариинский Посад, 
ул. Чкалова, д. 69</t>
  </si>
  <si>
    <t>с. Красноармейское, 
ул. Ленина, д. 63</t>
  </si>
  <si>
    <t>1324,20 </t>
  </si>
  <si>
    <t>г. Новочебоксарск, 
ул. Коммунистическая, д. 12</t>
  </si>
  <si>
    <t>г. Новочебоксарск, 
ул. Набережная, д. 17</t>
  </si>
  <si>
    <t>г. Новочебоксарск, 
ул. Пионерская, д. 19</t>
  </si>
  <si>
    <t>г. Алатырь, ул. Полевая,  д. 20</t>
  </si>
  <si>
    <t>г. Алатырь, ул. 40 лет Победы, д. 100</t>
  </si>
  <si>
    <t>г. Алатырь, ул. 40 лет Победы, д. 102</t>
  </si>
  <si>
    <t>5 453,69</t>
  </si>
  <si>
    <t xml:space="preserve">ремонт  крыши </t>
  </si>
  <si>
    <t>Вурнарский  район</t>
  </si>
  <si>
    <t>Батыревский район</t>
  </si>
  <si>
    <t>Вурнарский район</t>
  </si>
  <si>
    <t>Аликовский район</t>
  </si>
  <si>
    <t>Красноармейский район</t>
  </si>
  <si>
    <t>Красночетайский район</t>
  </si>
  <si>
    <t>Комсомольский  район</t>
  </si>
  <si>
    <t>с. Янтиково, просп. Ленина, 
д. 10</t>
  </si>
  <si>
    <t>Год ремонта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</si>
</sst>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_-* #,##0_р_._-;\-* #,##0_р_._-;_-* &quot;-&quot;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_ ;[Red]\-0\ "/>
    <numFmt numFmtId="185" formatCode="#,##0.00_ ;[Red]\-#,##0.00\ 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#,##0_ ;[Red]\-#,##0\ "/>
    <numFmt numFmtId="193" formatCode="#,##0.0_ ;[Red]\-#,##0.0\ "/>
    <numFmt numFmtId="194" formatCode="#,##0.00\ [$₽-419]"/>
    <numFmt numFmtId="195" formatCode="#,##0.000\ [$₽-419]"/>
    <numFmt numFmtId="196" formatCode="#,##0.0000\ [$₽-419]"/>
    <numFmt numFmtId="197" formatCode="#,##0.00000\ [$₽-419]"/>
    <numFmt numFmtId="198" formatCode="0.00_ ;[Red]\-0.00\ "/>
    <numFmt numFmtId="199" formatCode="0.0_ ;[Red]\-0.0\ "/>
    <numFmt numFmtId="200" formatCode="0;[Red]\-0"/>
    <numFmt numFmtId="201" formatCode="#,##0.00\ &quot;₽&quot;"/>
    <numFmt numFmtId="202" formatCode="#,##0.00_р_."/>
    <numFmt numFmtId="203" formatCode="#,##0.00;[Red]#,##0.00"/>
    <numFmt numFmtId="204" formatCode="0.000E+00"/>
    <numFmt numFmtId="205" formatCode="0.0000E+00"/>
    <numFmt numFmtId="206" formatCode="#,##0.000_ ;[Red]\-#,##0.000\ "/>
    <numFmt numFmtId="207" formatCode="[$-FC19]d\ mmmm\ yyyy\ &quot;г.&quot;"/>
    <numFmt numFmtId="208" formatCode="_(&quot;$&quot;* #,##0.00_);_(&quot;$&quot;* \(#,##0.00\);_(&quot;$&quot;* &quot;-&quot;??_);_(@_)"/>
    <numFmt numFmtId="209" formatCode="_ * #,##0_ ;_ * \-#,##0_ ;_ * &quot;-&quot;_ ;_ @_ "/>
    <numFmt numFmtId="210" formatCode="_ * #,##0.00_ ;_ * \-#,##0.00_ ;_ * &quot;-&quot;??_ ;_ @_ "/>
    <numFmt numFmtId="211" formatCode="_(&quot;$&quot;* #,##0_);_(&quot;$&quot;* \(#,##0\);_(&quot;$&quot;* &quot;-&quot;_);_(@_)"/>
    <numFmt numFmtId="212" formatCode="#,##0.0"/>
    <numFmt numFmtId="213" formatCode="#,##0_ ;\-#,##0\ "/>
    <numFmt numFmtId="214" formatCode="#,##0.000"/>
    <numFmt numFmtId="215" formatCode="#,##0.0000"/>
    <numFmt numFmtId="216" formatCode="#,##0.00000"/>
    <numFmt numFmtId="217" formatCode="#,##0.000000"/>
    <numFmt numFmtId="218" formatCode="#,##0.00\ _₽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55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3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7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8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49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5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54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55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0" fontId="5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57" fillId="47" borderId="13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8" fillId="53" borderId="16" applyNumberFormat="0" applyFont="0" applyAlignment="0" applyProtection="0"/>
    <xf numFmtId="0" fontId="18" fillId="53" borderId="16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5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/>
    </xf>
    <xf numFmtId="0" fontId="2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25" xfId="0" applyFont="1" applyFill="1" applyBorder="1" applyAlignment="1">
      <alignment vertical="top" wrapText="1"/>
    </xf>
    <xf numFmtId="0" fontId="0" fillId="0" borderId="0" xfId="0" applyFont="1" applyFill="1" applyAlignment="1">
      <alignment vertical="justify"/>
    </xf>
    <xf numFmtId="4" fontId="22" fillId="0" borderId="20" xfId="0" applyNumberFormat="1" applyFont="1" applyFill="1" applyBorder="1" applyAlignment="1">
      <alignment horizontal="center" vertical="top" wrapText="1"/>
    </xf>
    <xf numFmtId="4" fontId="22" fillId="0" borderId="26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top" wrapText="1"/>
    </xf>
    <xf numFmtId="0" fontId="22" fillId="0" borderId="2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/>
    </xf>
    <xf numFmtId="0" fontId="24" fillId="0" borderId="20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justify"/>
    </xf>
    <xf numFmtId="0" fontId="24" fillId="0" borderId="26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4" fontId="24" fillId="0" borderId="20" xfId="0" applyNumberFormat="1" applyFont="1" applyFill="1" applyBorder="1" applyAlignment="1">
      <alignment horizontal="center" vertical="top" wrapText="1"/>
    </xf>
    <xf numFmtId="2" fontId="24" fillId="0" borderId="20" xfId="0" applyNumberFormat="1" applyFont="1" applyFill="1" applyBorder="1" applyAlignment="1">
      <alignment horizontal="center" vertical="top" wrapText="1"/>
    </xf>
    <xf numFmtId="2" fontId="24" fillId="0" borderId="20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left" vertical="top" wrapText="1" indent="1"/>
    </xf>
    <xf numFmtId="0" fontId="22" fillId="0" borderId="20" xfId="0" applyFont="1" applyFill="1" applyBorder="1" applyAlignment="1">
      <alignment horizontal="left" vertical="center" wrapText="1" indent="1"/>
    </xf>
    <xf numFmtId="0" fontId="24" fillId="0" borderId="20" xfId="0" applyFont="1" applyFill="1" applyBorder="1" applyAlignment="1">
      <alignment horizontal="center" vertical="top"/>
    </xf>
    <xf numFmtId="0" fontId="24" fillId="0" borderId="20" xfId="0" applyFont="1" applyFill="1" applyBorder="1" applyAlignment="1">
      <alignment horizontal="left" vertical="top" wrapText="1"/>
    </xf>
    <xf numFmtId="1" fontId="24" fillId="0" borderId="20" xfId="0" applyNumberFormat="1" applyFont="1" applyFill="1" applyBorder="1" applyAlignment="1">
      <alignment horizontal="center"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4" fontId="24" fillId="0" borderId="20" xfId="0" applyNumberFormat="1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3" fontId="24" fillId="0" borderId="26" xfId="0" applyNumberFormat="1" applyFont="1" applyFill="1" applyBorder="1" applyAlignment="1">
      <alignment horizontal="center" vertical="top" wrapText="1"/>
    </xf>
    <xf numFmtId="4" fontId="24" fillId="0" borderId="26" xfId="0" applyNumberFormat="1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left" vertical="top" wrapText="1"/>
    </xf>
    <xf numFmtId="1" fontId="24" fillId="0" borderId="26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 quotePrefix="1">
      <alignment horizontal="left" vertical="top" wrapText="1"/>
    </xf>
    <xf numFmtId="1" fontId="24" fillId="0" borderId="2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4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Alignment="1" quotePrefix="1">
      <alignment vertical="top" wrapText="1"/>
    </xf>
    <xf numFmtId="4" fontId="28" fillId="0" borderId="0" xfId="0" applyNumberFormat="1" applyFont="1" applyFill="1" applyAlignment="1">
      <alignment vertical="top" wrapText="1"/>
    </xf>
    <xf numFmtId="4" fontId="28" fillId="0" borderId="0" xfId="0" applyNumberFormat="1" applyFont="1" applyFill="1" applyAlignment="1" quotePrefix="1">
      <alignment horizontal="center" vertical="top" wrapText="1"/>
    </xf>
    <xf numFmtId="4" fontId="28" fillId="0" borderId="0" xfId="0" applyNumberFormat="1" applyFont="1" applyFill="1" applyAlignment="1">
      <alignment horizontal="center" vertical="top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 wrapText="1"/>
    </xf>
    <xf numFmtId="4" fontId="27" fillId="0" borderId="0" xfId="0" applyNumberFormat="1" applyFont="1" applyFill="1" applyAlignment="1">
      <alignment wrapText="1"/>
    </xf>
    <xf numFmtId="0" fontId="30" fillId="0" borderId="0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 quotePrefix="1">
      <alignment horizontal="center" vertical="top" wrapText="1"/>
    </xf>
    <xf numFmtId="4" fontId="24" fillId="0" borderId="20" xfId="0" applyNumberFormat="1" applyFont="1" applyFill="1" applyBorder="1" applyAlignment="1" quotePrefix="1">
      <alignment horizontal="center" vertical="top" wrapText="1"/>
    </xf>
    <xf numFmtId="0" fontId="24" fillId="0" borderId="20" xfId="0" applyNumberFormat="1" applyFont="1" applyFill="1" applyBorder="1" applyAlignment="1" quotePrefix="1">
      <alignment horizontal="center" vertical="top" wrapText="1"/>
    </xf>
    <xf numFmtId="2" fontId="24" fillId="0" borderId="20" xfId="0" applyNumberFormat="1" applyFont="1" applyFill="1" applyBorder="1" applyAlignment="1" quotePrefix="1">
      <alignment horizontal="center" vertical="top" wrapText="1"/>
    </xf>
    <xf numFmtId="49" fontId="24" fillId="0" borderId="20" xfId="0" applyNumberFormat="1" applyFont="1" applyFill="1" applyBorder="1" applyAlignment="1" quotePrefix="1">
      <alignment horizontal="center" vertical="top" wrapText="1"/>
    </xf>
    <xf numFmtId="0" fontId="24" fillId="0" borderId="20" xfId="0" applyNumberFormat="1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4" fontId="24" fillId="0" borderId="27" xfId="0" applyNumberFormat="1" applyFont="1" applyFill="1" applyBorder="1" applyAlignment="1" quotePrefix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/>
    </xf>
    <xf numFmtId="2" fontId="33" fillId="0" borderId="28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vertical="top" wrapText="1"/>
    </xf>
    <xf numFmtId="0" fontId="24" fillId="0" borderId="28" xfId="0" applyFont="1" applyFill="1" applyBorder="1" applyAlignment="1">
      <alignment horizontal="center" vertical="top" wrapText="1"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8" xfId="0" applyNumberFormat="1" applyFont="1" applyFill="1" applyBorder="1" applyAlignment="1">
      <alignment horizontal="center" vertical="top" wrapText="1"/>
    </xf>
    <xf numFmtId="0" fontId="33" fillId="0" borderId="25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4" fontId="33" fillId="0" borderId="20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 quotePrefix="1">
      <alignment horizontal="left" vertical="top" wrapText="1"/>
    </xf>
    <xf numFmtId="2" fontId="24" fillId="0" borderId="28" xfId="0" applyNumberFormat="1" applyFont="1" applyFill="1" applyBorder="1" applyAlignment="1">
      <alignment horizontal="center" vertical="top" wrapText="1"/>
    </xf>
    <xf numFmtId="2" fontId="33" fillId="0" borderId="20" xfId="0" applyNumberFormat="1" applyFont="1" applyFill="1" applyBorder="1" applyAlignment="1">
      <alignment horizontal="left" vertical="top" wrapText="1"/>
    </xf>
    <xf numFmtId="0" fontId="32" fillId="0" borderId="28" xfId="0" applyFont="1" applyFill="1" applyBorder="1" applyAlignment="1">
      <alignment/>
    </xf>
    <xf numFmtId="3" fontId="24" fillId="0" borderId="25" xfId="0" applyNumberFormat="1" applyFont="1" applyFill="1" applyBorder="1" applyAlignment="1">
      <alignment horizontal="center" vertical="top" wrapText="1"/>
    </xf>
    <xf numFmtId="4" fontId="24" fillId="0" borderId="20" xfId="0" applyNumberFormat="1" applyFont="1" applyFill="1" applyBorder="1" applyAlignment="1">
      <alignment horizontal="left" vertical="top" wrapText="1"/>
    </xf>
    <xf numFmtId="3" fontId="24" fillId="0" borderId="20" xfId="0" applyNumberFormat="1" applyFont="1" applyFill="1" applyBorder="1" applyAlignment="1">
      <alignment horizontal="left" vertical="top" wrapText="1"/>
    </xf>
    <xf numFmtId="218" fontId="24" fillId="0" borderId="20" xfId="0" applyNumberFormat="1" applyFont="1" applyFill="1" applyBorder="1" applyAlignment="1">
      <alignment horizontal="center" vertical="top" wrapText="1"/>
    </xf>
    <xf numFmtId="4" fontId="24" fillId="0" borderId="25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 quotePrefix="1">
      <alignment horizontal="center" vertical="top" wrapText="1"/>
    </xf>
    <xf numFmtId="2" fontId="24" fillId="0" borderId="28" xfId="0" applyNumberFormat="1" applyFont="1" applyFill="1" applyBorder="1" applyAlignment="1">
      <alignment horizontal="center" vertical="top" wrapText="1"/>
    </xf>
    <xf numFmtId="3" fontId="24" fillId="0" borderId="25" xfId="0" applyNumberFormat="1" applyFont="1" applyFill="1" applyBorder="1" applyAlignment="1">
      <alignment horizontal="center" vertical="top" wrapText="1"/>
    </xf>
    <xf numFmtId="2" fontId="33" fillId="0" borderId="20" xfId="0" applyNumberFormat="1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/>
    </xf>
    <xf numFmtId="3" fontId="33" fillId="0" borderId="20" xfId="0" applyNumberFormat="1" applyFont="1" applyFill="1" applyBorder="1" applyAlignment="1">
      <alignment horizontal="center" vertical="top" wrapText="1"/>
    </xf>
    <xf numFmtId="2" fontId="24" fillId="0" borderId="20" xfId="0" applyNumberFormat="1" applyFont="1" applyFill="1" applyBorder="1" applyAlignment="1">
      <alignment horizontal="left" vertical="top" wrapText="1"/>
    </xf>
    <xf numFmtId="2" fontId="24" fillId="0" borderId="20" xfId="0" applyNumberFormat="1" applyFont="1" applyFill="1" applyBorder="1" applyAlignment="1">
      <alignment horizontal="center" vertical="top"/>
    </xf>
    <xf numFmtId="0" fontId="24" fillId="0" borderId="27" xfId="0" applyFont="1" applyFill="1" applyBorder="1" applyAlignment="1" quotePrefix="1">
      <alignment horizontal="center" vertical="top" wrapText="1"/>
    </xf>
    <xf numFmtId="0" fontId="33" fillId="0" borderId="20" xfId="0" applyFont="1" applyFill="1" applyBorder="1" applyAlignment="1">
      <alignment horizontal="left" vertical="top" wrapText="1"/>
    </xf>
    <xf numFmtId="218" fontId="24" fillId="0" borderId="20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 quotePrefix="1">
      <alignment horizontal="left" vertical="top" wrapText="1"/>
    </xf>
    <xf numFmtId="185" fontId="24" fillId="0" borderId="20" xfId="0" applyNumberFormat="1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49" fontId="24" fillId="0" borderId="20" xfId="0" applyNumberFormat="1" applyFont="1" applyFill="1" applyBorder="1" applyAlignment="1">
      <alignment horizontal="left" vertical="top" wrapText="1"/>
    </xf>
    <xf numFmtId="4" fontId="24" fillId="0" borderId="20" xfId="0" applyNumberFormat="1" applyFont="1" applyFill="1" applyBorder="1" applyAlignment="1">
      <alignment horizontal="center" vertical="top"/>
    </xf>
    <xf numFmtId="4" fontId="24" fillId="0" borderId="20" xfId="179" applyNumberFormat="1" applyFont="1" applyFill="1" applyBorder="1" applyAlignment="1">
      <alignment horizontal="center" vertical="top"/>
    </xf>
    <xf numFmtId="2" fontId="24" fillId="0" borderId="20" xfId="179" applyNumberFormat="1" applyFont="1" applyFill="1" applyBorder="1" applyAlignment="1">
      <alignment horizontal="center" vertical="top"/>
    </xf>
    <xf numFmtId="0" fontId="33" fillId="0" borderId="20" xfId="0" applyFont="1" applyFill="1" applyBorder="1" applyAlignment="1">
      <alignment vertical="top" wrapText="1"/>
    </xf>
    <xf numFmtId="4" fontId="33" fillId="0" borderId="20" xfId="179" applyNumberFormat="1" applyFont="1" applyFill="1" applyBorder="1" applyAlignment="1">
      <alignment horizontal="center" vertical="top"/>
    </xf>
    <xf numFmtId="4" fontId="24" fillId="0" borderId="20" xfId="155" applyNumberFormat="1" applyFont="1" applyFill="1" applyBorder="1" applyAlignment="1">
      <alignment horizontal="center" vertical="top" wrapText="1"/>
      <protection/>
    </xf>
    <xf numFmtId="2" fontId="33" fillId="0" borderId="20" xfId="179" applyNumberFormat="1" applyFont="1" applyFill="1" applyBorder="1" applyAlignment="1">
      <alignment horizontal="center" vertical="top"/>
    </xf>
    <xf numFmtId="4" fontId="33" fillId="0" borderId="20" xfId="0" applyNumberFormat="1" applyFont="1" applyFill="1" applyBorder="1" applyAlignment="1" quotePrefix="1">
      <alignment horizontal="center" vertical="top" wrapText="1"/>
    </xf>
    <xf numFmtId="2" fontId="24" fillId="0" borderId="20" xfId="0" applyNumberFormat="1" applyFont="1" applyFill="1" applyBorder="1" applyAlignment="1">
      <alignment vertical="top" wrapText="1"/>
    </xf>
    <xf numFmtId="4" fontId="24" fillId="0" borderId="28" xfId="0" applyNumberFormat="1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left" vertical="top" wrapText="1"/>
    </xf>
    <xf numFmtId="2" fontId="24" fillId="0" borderId="20" xfId="0" applyNumberFormat="1" applyFont="1" applyFill="1" applyBorder="1" applyAlignment="1" quotePrefix="1">
      <alignment horizontal="left" vertical="top" wrapText="1"/>
    </xf>
    <xf numFmtId="192" fontId="24" fillId="0" borderId="20" xfId="0" applyNumberFormat="1" applyFont="1" applyFill="1" applyBorder="1" applyAlignment="1">
      <alignment horizontal="center" vertical="center" wrapText="1"/>
    </xf>
    <xf numFmtId="185" fontId="24" fillId="0" borderId="20" xfId="0" applyNumberFormat="1" applyFont="1" applyFill="1" applyBorder="1" applyAlignment="1">
      <alignment horizontal="center" vertical="center" wrapText="1"/>
    </xf>
    <xf numFmtId="4" fontId="33" fillId="0" borderId="20" xfId="0" applyNumberFormat="1" applyFont="1" applyFill="1" applyBorder="1" applyAlignment="1">
      <alignment horizontal="center" vertical="center" wrapText="1"/>
    </xf>
    <xf numFmtId="3" fontId="33" fillId="0" borderId="20" xfId="0" applyNumberFormat="1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2" fontId="24" fillId="0" borderId="25" xfId="0" applyNumberFormat="1" applyFont="1" applyFill="1" applyBorder="1" applyAlignment="1">
      <alignment horizontal="left" vertical="top" wrapText="1"/>
    </xf>
    <xf numFmtId="2" fontId="30" fillId="0" borderId="20" xfId="0" applyNumberFormat="1" applyFont="1" applyFill="1" applyBorder="1" applyAlignment="1">
      <alignment horizontal="left" vertical="top" wrapText="1"/>
    </xf>
    <xf numFmtId="0" fontId="24" fillId="0" borderId="20" xfId="0" applyFont="1" applyFill="1" applyBorder="1" applyAlignment="1" quotePrefix="1">
      <alignment vertical="top" wrapText="1"/>
    </xf>
    <xf numFmtId="0" fontId="24" fillId="0" borderId="25" xfId="0" applyFont="1" applyFill="1" applyBorder="1" applyAlignment="1">
      <alignment horizontal="left" vertical="top" wrapText="1" indent="1"/>
    </xf>
    <xf numFmtId="0" fontId="33" fillId="0" borderId="20" xfId="0" applyFont="1" applyFill="1" applyBorder="1" applyAlignment="1">
      <alignment horizontal="left" vertical="top" wrapText="1" indent="1"/>
    </xf>
    <xf numFmtId="2" fontId="24" fillId="0" borderId="20" xfId="0" applyNumberFormat="1" applyFont="1" applyFill="1" applyBorder="1" applyAlignment="1">
      <alignment horizontal="left" vertical="top" wrapText="1" indent="1"/>
    </xf>
    <xf numFmtId="2" fontId="24" fillId="0" borderId="28" xfId="0" applyNumberFormat="1" applyFont="1" applyFill="1" applyBorder="1" applyAlignment="1">
      <alignment horizontal="left" vertical="top" wrapText="1" indent="1"/>
    </xf>
    <xf numFmtId="4" fontId="24" fillId="0" borderId="20" xfId="0" applyNumberFormat="1" applyFont="1" applyFill="1" applyBorder="1" applyAlignment="1">
      <alignment horizontal="left" vertical="top" wrapText="1" indent="1"/>
    </xf>
    <xf numFmtId="2" fontId="33" fillId="0" borderId="20" xfId="0" applyNumberFormat="1" applyFont="1" applyFill="1" applyBorder="1" applyAlignment="1">
      <alignment horizontal="left" vertical="top" wrapText="1" indent="1"/>
    </xf>
    <xf numFmtId="4" fontId="33" fillId="0" borderId="20" xfId="0" applyNumberFormat="1" applyFont="1" applyFill="1" applyBorder="1" applyAlignment="1">
      <alignment horizontal="left" vertical="top" wrapText="1" indent="1"/>
    </xf>
    <xf numFmtId="49" fontId="24" fillId="0" borderId="20" xfId="0" applyNumberFormat="1" applyFont="1" applyFill="1" applyBorder="1" applyAlignment="1">
      <alignment horizontal="left" vertical="top" wrapText="1" indent="1"/>
    </xf>
    <xf numFmtId="4" fontId="24" fillId="0" borderId="20" xfId="0" applyNumberFormat="1" applyFont="1" applyFill="1" applyBorder="1" applyAlignment="1">
      <alignment vertical="top" wrapText="1"/>
    </xf>
    <xf numFmtId="0" fontId="24" fillId="0" borderId="20" xfId="0" applyNumberFormat="1" applyFont="1" applyFill="1" applyBorder="1" applyAlignment="1">
      <alignment horizontal="left" vertical="top" wrapText="1" indent="1"/>
    </xf>
    <xf numFmtId="3" fontId="24" fillId="0" borderId="20" xfId="0" applyNumberFormat="1" applyFont="1" applyFill="1" applyBorder="1" applyAlignment="1">
      <alignment vertical="top" wrapText="1"/>
    </xf>
    <xf numFmtId="4" fontId="24" fillId="0" borderId="20" xfId="0" applyNumberFormat="1" applyFont="1" applyFill="1" applyBorder="1" applyAlignment="1" quotePrefix="1">
      <alignment vertical="top" wrapText="1"/>
    </xf>
    <xf numFmtId="4" fontId="24" fillId="0" borderId="25" xfId="0" applyNumberFormat="1" applyFont="1" applyFill="1" applyBorder="1" applyAlignment="1">
      <alignment horizontal="left" vertical="top" wrapText="1" indent="1"/>
    </xf>
    <xf numFmtId="0" fontId="32" fillId="0" borderId="28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left" vertical="center" wrapText="1" indent="1"/>
    </xf>
    <xf numFmtId="4" fontId="24" fillId="0" borderId="20" xfId="0" applyNumberFormat="1" applyFont="1" applyFill="1" applyBorder="1" applyAlignment="1">
      <alignment horizontal="left" vertical="top" wrapText="1" indent="1"/>
    </xf>
    <xf numFmtId="2" fontId="24" fillId="0" borderId="20" xfId="0" applyNumberFormat="1" applyFont="1" applyFill="1" applyBorder="1" applyAlignment="1">
      <alignment horizontal="left" vertical="top" wrapText="1" indent="1"/>
    </xf>
    <xf numFmtId="4" fontId="24" fillId="0" borderId="28" xfId="0" applyNumberFormat="1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horizontal="left" vertical="top" wrapText="1" indent="1"/>
    </xf>
    <xf numFmtId="0" fontId="33" fillId="0" borderId="25" xfId="0" applyFont="1" applyFill="1" applyBorder="1" applyAlignment="1">
      <alignment horizontal="left" vertical="top" wrapText="1" indent="1"/>
    </xf>
    <xf numFmtId="2" fontId="33" fillId="0" borderId="28" xfId="0" applyNumberFormat="1" applyFont="1" applyFill="1" applyBorder="1" applyAlignment="1">
      <alignment horizontal="left" vertical="top" wrapText="1" indent="1"/>
    </xf>
    <xf numFmtId="0" fontId="24" fillId="0" borderId="20" xfId="0" applyFont="1" applyFill="1" applyBorder="1" applyAlignment="1">
      <alignment/>
    </xf>
    <xf numFmtId="2" fontId="22" fillId="0" borderId="20" xfId="0" applyNumberFormat="1" applyFont="1" applyFill="1" applyBorder="1" applyAlignment="1">
      <alignment horizontal="center" vertical="top" wrapText="1"/>
    </xf>
    <xf numFmtId="1" fontId="22" fillId="0" borderId="20" xfId="0" applyNumberFormat="1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left" vertical="top" wrapText="1" indent="1"/>
    </xf>
    <xf numFmtId="0" fontId="24" fillId="0" borderId="28" xfId="0" applyFont="1" applyFill="1" applyBorder="1" applyAlignment="1">
      <alignment horizontal="left" vertical="top" wrapText="1" indent="1"/>
    </xf>
    <xf numFmtId="2" fontId="33" fillId="0" borderId="20" xfId="0" applyNumberFormat="1" applyFont="1" applyFill="1" applyBorder="1" applyAlignment="1">
      <alignment vertical="top" wrapText="1"/>
    </xf>
    <xf numFmtId="0" fontId="33" fillId="0" borderId="28" xfId="0" applyFont="1" applyFill="1" applyBorder="1" applyAlignment="1">
      <alignment horizontal="left" vertical="top" wrapText="1" indent="1"/>
    </xf>
    <xf numFmtId="49" fontId="24" fillId="0" borderId="20" xfId="0" applyNumberFormat="1" applyFont="1" applyFill="1" applyBorder="1" applyAlignment="1" quotePrefix="1">
      <alignment vertical="top" wrapText="1"/>
    </xf>
    <xf numFmtId="2" fontId="22" fillId="0" borderId="20" xfId="0" applyNumberFormat="1" applyFont="1" applyFill="1" applyBorder="1" applyAlignment="1">
      <alignment horizontal="center" vertical="top" wrapText="1"/>
    </xf>
    <xf numFmtId="173" fontId="28" fillId="0" borderId="26" xfId="179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/>
    </xf>
    <xf numFmtId="4" fontId="22" fillId="0" borderId="20" xfId="0" applyNumberFormat="1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center" vertical="top" wrapText="1"/>
    </xf>
    <xf numFmtId="4" fontId="24" fillId="0" borderId="30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 quotePrefix="1">
      <alignment horizontal="left" vertical="top" wrapText="1" indent="1"/>
    </xf>
    <xf numFmtId="3" fontId="33" fillId="0" borderId="20" xfId="0" applyNumberFormat="1" applyFont="1" applyFill="1" applyBorder="1" applyAlignment="1" quotePrefix="1">
      <alignment horizontal="center" vertical="top" wrapText="1"/>
    </xf>
    <xf numFmtId="0" fontId="24" fillId="0" borderId="25" xfId="0" applyFont="1" applyFill="1" applyBorder="1" applyAlignment="1">
      <alignment horizontal="left" vertical="top" wrapText="1"/>
    </xf>
    <xf numFmtId="2" fontId="24" fillId="0" borderId="20" xfId="0" applyNumberFormat="1" applyFont="1" applyFill="1" applyBorder="1" applyAlignment="1" quotePrefix="1">
      <alignment vertical="top" wrapText="1"/>
    </xf>
    <xf numFmtId="4" fontId="22" fillId="0" borderId="26" xfId="0" applyNumberFormat="1" applyFont="1" applyFill="1" applyBorder="1" applyAlignment="1">
      <alignment horizontal="center" vertical="top" wrapText="1"/>
    </xf>
    <xf numFmtId="4" fontId="24" fillId="0" borderId="28" xfId="0" applyNumberFormat="1" applyFont="1" applyFill="1" applyBorder="1" applyAlignment="1">
      <alignment horizontal="center" vertical="top"/>
    </xf>
    <xf numFmtId="4" fontId="33" fillId="0" borderId="20" xfId="0" applyNumberFormat="1" applyFont="1" applyFill="1" applyBorder="1" applyAlignment="1">
      <alignment horizontal="left" vertical="top" wrapText="1"/>
    </xf>
    <xf numFmtId="4" fontId="24" fillId="0" borderId="28" xfId="0" applyNumberFormat="1" applyFont="1" applyFill="1" applyBorder="1" applyAlignment="1">
      <alignment horizontal="left" vertical="top" wrapText="1"/>
    </xf>
    <xf numFmtId="2" fontId="24" fillId="0" borderId="28" xfId="0" applyNumberFormat="1" applyFont="1" applyFill="1" applyBorder="1" applyAlignment="1">
      <alignment horizontal="left" vertical="top" wrapText="1"/>
    </xf>
    <xf numFmtId="0" fontId="32" fillId="0" borderId="28" xfId="0" applyFont="1" applyFill="1" applyBorder="1" applyAlignment="1">
      <alignment vertical="top"/>
    </xf>
    <xf numFmtId="4" fontId="24" fillId="0" borderId="20" xfId="0" applyNumberFormat="1" applyFont="1" applyFill="1" applyBorder="1" applyAlignment="1" quotePrefix="1">
      <alignment horizontal="left" vertical="top" wrapText="1"/>
    </xf>
    <xf numFmtId="0" fontId="24" fillId="0" borderId="20" xfId="0" applyFont="1" applyFill="1" applyBorder="1" applyAlignment="1">
      <alignment horizontal="center" vertical="justify" wrapText="1"/>
    </xf>
    <xf numFmtId="0" fontId="24" fillId="0" borderId="20" xfId="0" applyFont="1" applyFill="1" applyBorder="1" applyAlignment="1">
      <alignment vertical="justify"/>
    </xf>
    <xf numFmtId="0" fontId="24" fillId="0" borderId="20" xfId="0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33" fillId="0" borderId="20" xfId="0" applyNumberFormat="1" applyFont="1" applyFill="1" applyBorder="1" applyAlignment="1">
      <alignment horizontal="center" vertical="top"/>
    </xf>
    <xf numFmtId="0" fontId="24" fillId="0" borderId="25" xfId="0" applyFont="1" applyFill="1" applyBorder="1" applyAlignment="1" quotePrefix="1">
      <alignment horizontal="left" vertical="top" wrapText="1"/>
    </xf>
    <xf numFmtId="0" fontId="33" fillId="0" borderId="20" xfId="0" applyFont="1" applyFill="1" applyBorder="1" applyAlignment="1" quotePrefix="1">
      <alignment horizontal="left" vertical="top" wrapText="1"/>
    </xf>
    <xf numFmtId="0" fontId="24" fillId="0" borderId="28" xfId="0" applyFont="1" applyFill="1" applyBorder="1" applyAlignment="1" quotePrefix="1">
      <alignment horizontal="left" vertical="top" wrapText="1"/>
    </xf>
    <xf numFmtId="4" fontId="24" fillId="0" borderId="20" xfId="0" applyNumberFormat="1" applyFont="1" applyFill="1" applyBorder="1" applyAlignment="1">
      <alignment horizontal="left"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192" fontId="24" fillId="0" borderId="20" xfId="0" applyNumberFormat="1" applyFont="1" applyFill="1" applyBorder="1" applyAlignment="1">
      <alignment horizontal="center" vertical="top" wrapText="1"/>
    </xf>
    <xf numFmtId="4" fontId="24" fillId="55" borderId="28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2" fontId="34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 quotePrefix="1">
      <alignment horizontal="center" vertical="top" wrapText="1"/>
    </xf>
    <xf numFmtId="0" fontId="27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top"/>
    </xf>
    <xf numFmtId="4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left" vertical="top" wrapText="1"/>
    </xf>
    <xf numFmtId="202" fontId="22" fillId="0" borderId="20" xfId="0" applyNumberFormat="1" applyFont="1" applyFill="1" applyBorder="1" applyAlignment="1">
      <alignment horizontal="center" vertical="top" wrapText="1"/>
    </xf>
    <xf numFmtId="4" fontId="22" fillId="0" borderId="27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 quotePrefix="1">
      <alignment horizontal="left" vertical="top" wrapText="1"/>
    </xf>
    <xf numFmtId="2" fontId="22" fillId="0" borderId="28" xfId="0" applyNumberFormat="1" applyFont="1" applyFill="1" applyBorder="1" applyAlignment="1">
      <alignment horizontal="center" vertical="top" wrapText="1"/>
    </xf>
    <xf numFmtId="2" fontId="34" fillId="0" borderId="20" xfId="0" applyNumberFormat="1" applyFont="1" applyFill="1" applyBorder="1" applyAlignment="1">
      <alignment horizontal="center" vertical="top" wrapText="1"/>
    </xf>
    <xf numFmtId="4" fontId="22" fillId="0" borderId="20" xfId="0" applyNumberFormat="1" applyFont="1" applyFill="1" applyBorder="1" applyAlignment="1">
      <alignment horizontal="left" vertical="top" wrapText="1"/>
    </xf>
    <xf numFmtId="0" fontId="22" fillId="0" borderId="25" xfId="0" applyFont="1" applyFill="1" applyBorder="1" applyAlignment="1">
      <alignment horizontal="left" vertical="top" wrapText="1"/>
    </xf>
    <xf numFmtId="1" fontId="22" fillId="0" borderId="25" xfId="0" applyNumberFormat="1" applyFont="1" applyFill="1" applyBorder="1" applyAlignment="1">
      <alignment horizontal="center" vertical="top" wrapText="1"/>
    </xf>
    <xf numFmtId="2" fontId="22" fillId="0" borderId="20" xfId="0" applyNumberFormat="1" applyFont="1" applyFill="1" applyBorder="1" applyAlignment="1" quotePrefix="1">
      <alignment horizontal="left" vertical="top" wrapText="1"/>
    </xf>
    <xf numFmtId="49" fontId="22" fillId="0" borderId="20" xfId="0" applyNumberFormat="1" applyFont="1" applyFill="1" applyBorder="1" applyAlignment="1" quotePrefix="1">
      <alignment horizontal="left" vertical="center" wrapText="1"/>
    </xf>
    <xf numFmtId="185" fontId="22" fillId="0" borderId="20" xfId="0" applyNumberFormat="1" applyFont="1" applyFill="1" applyBorder="1" applyAlignment="1">
      <alignment horizontal="center" vertical="top" wrapText="1"/>
    </xf>
    <xf numFmtId="0" fontId="22" fillId="0" borderId="25" xfId="0" applyNumberFormat="1" applyFont="1" applyFill="1" applyBorder="1" applyAlignment="1">
      <alignment horizontal="center" vertical="top" wrapText="1"/>
    </xf>
    <xf numFmtId="49" fontId="22" fillId="0" borderId="20" xfId="0" applyNumberFormat="1" applyFont="1" applyFill="1" applyBorder="1" applyAlignment="1" quotePrefix="1">
      <alignment horizontal="left" vertical="top" wrapText="1"/>
    </xf>
    <xf numFmtId="4" fontId="22" fillId="0" borderId="20" xfId="0" applyNumberFormat="1" applyFont="1" applyFill="1" applyBorder="1" applyAlignment="1" quotePrefix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 quotePrefix="1">
      <alignment horizontal="center" vertical="top" wrapText="1"/>
    </xf>
    <xf numFmtId="49" fontId="22" fillId="0" borderId="25" xfId="0" applyNumberFormat="1" applyFont="1" applyFill="1" applyBorder="1" applyAlignment="1" quotePrefix="1">
      <alignment horizontal="center" vertical="top" wrapText="1"/>
    </xf>
    <xf numFmtId="49" fontId="22" fillId="0" borderId="20" xfId="0" applyNumberFormat="1" applyFont="1" applyFill="1" applyBorder="1" applyAlignment="1">
      <alignment horizontal="left" vertical="top" wrapText="1"/>
    </xf>
    <xf numFmtId="1" fontId="22" fillId="0" borderId="20" xfId="0" applyNumberFormat="1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 quotePrefix="1">
      <alignment horizontal="left" vertical="top" wrapText="1"/>
    </xf>
    <xf numFmtId="3" fontId="34" fillId="0" borderId="20" xfId="0" applyNumberFormat="1" applyFont="1" applyFill="1" applyBorder="1" applyAlignment="1" quotePrefix="1">
      <alignment horizontal="center" vertical="top" wrapText="1"/>
    </xf>
    <xf numFmtId="0" fontId="22" fillId="0" borderId="25" xfId="0" applyNumberFormat="1" applyFont="1" applyFill="1" applyBorder="1" applyAlignment="1" quotePrefix="1">
      <alignment horizontal="center" vertical="top" wrapText="1"/>
    </xf>
    <xf numFmtId="3" fontId="22" fillId="0" borderId="20" xfId="0" applyNumberFormat="1" applyFont="1" applyFill="1" applyBorder="1" applyAlignment="1" quotePrefix="1">
      <alignment horizontal="center" vertical="top" wrapText="1"/>
    </xf>
    <xf numFmtId="0" fontId="27" fillId="0" borderId="20" xfId="0" applyFont="1" applyFill="1" applyBorder="1" applyAlignment="1">
      <alignment/>
    </xf>
    <xf numFmtId="4" fontId="34" fillId="0" borderId="20" xfId="0" applyNumberFormat="1" applyFont="1" applyFill="1" applyBorder="1" applyAlignment="1" quotePrefix="1">
      <alignment horizontal="center" wrapText="1"/>
    </xf>
    <xf numFmtId="3" fontId="34" fillId="0" borderId="20" xfId="0" applyNumberFormat="1" applyFont="1" applyFill="1" applyBorder="1" applyAlignment="1" quotePrefix="1">
      <alignment horizont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218" fontId="22" fillId="0" borderId="20" xfId="0" applyNumberFormat="1" applyFont="1" applyFill="1" applyBorder="1" applyAlignment="1">
      <alignment horizontal="center" vertical="top" wrapText="1"/>
    </xf>
    <xf numFmtId="2" fontId="27" fillId="0" borderId="20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top"/>
    </xf>
    <xf numFmtId="4" fontId="22" fillId="0" borderId="21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justify" wrapText="1"/>
    </xf>
    <xf numFmtId="2" fontId="22" fillId="0" borderId="20" xfId="0" applyNumberFormat="1" applyFont="1" applyFill="1" applyBorder="1" applyAlignment="1">
      <alignment horizontal="center" vertical="justify" wrapText="1"/>
    </xf>
    <xf numFmtId="2" fontId="22" fillId="0" borderId="20" xfId="0" applyNumberFormat="1" applyFont="1" applyFill="1" applyBorder="1" applyAlignment="1">
      <alignment vertical="top" wrapText="1"/>
    </xf>
    <xf numFmtId="2" fontId="28" fillId="0" borderId="20" xfId="0" applyNumberFormat="1" applyFont="1" applyFill="1" applyBorder="1" applyAlignment="1">
      <alignment horizontal="center" vertical="center" wrapText="1"/>
    </xf>
    <xf numFmtId="2" fontId="28" fillId="0" borderId="26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left" vertical="top" wrapText="1"/>
    </xf>
    <xf numFmtId="4" fontId="22" fillId="0" borderId="20" xfId="0" applyNumberFormat="1" applyFont="1" applyFill="1" applyBorder="1" applyAlignment="1" quotePrefix="1">
      <alignment horizontal="left" vertical="top" wrapText="1"/>
    </xf>
    <xf numFmtId="4" fontId="22" fillId="0" borderId="20" xfId="0" applyNumberFormat="1" applyFont="1" applyFill="1" applyBorder="1" applyAlignment="1" quotePrefix="1">
      <alignment horizontal="center" vertical="center" wrapText="1"/>
    </xf>
    <xf numFmtId="4" fontId="34" fillId="0" borderId="20" xfId="0" applyNumberFormat="1" applyFont="1" applyFill="1" applyBorder="1" applyAlignment="1" quotePrefix="1">
      <alignment horizontal="center" vertical="justify" wrapText="1"/>
    </xf>
    <xf numFmtId="2" fontId="22" fillId="0" borderId="20" xfId="0" applyNumberFormat="1" applyFont="1" applyFill="1" applyBorder="1" applyAlignment="1">
      <alignment horizontal="left" vertical="top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top"/>
    </xf>
    <xf numFmtId="2" fontId="22" fillId="0" borderId="28" xfId="0" applyNumberFormat="1" applyFont="1" applyFill="1" applyBorder="1" applyAlignment="1">
      <alignment horizontal="center" vertical="top" wrapText="1"/>
    </xf>
    <xf numFmtId="185" fontId="34" fillId="0" borderId="20" xfId="0" applyNumberFormat="1" applyFont="1" applyFill="1" applyBorder="1" applyAlignment="1">
      <alignment horizontal="center" vertical="top" wrapText="1"/>
    </xf>
    <xf numFmtId="192" fontId="34" fillId="0" borderId="20" xfId="0" applyNumberFormat="1" applyFont="1" applyFill="1" applyBorder="1" applyAlignment="1">
      <alignment horizontal="center" vertical="top" wrapText="1"/>
    </xf>
    <xf numFmtId="3" fontId="22" fillId="0" borderId="20" xfId="0" applyNumberFormat="1" applyFont="1" applyFill="1" applyBorder="1" applyAlignment="1">
      <alignment horizontal="center" vertical="top" wrapText="1"/>
    </xf>
    <xf numFmtId="4" fontId="22" fillId="0" borderId="28" xfId="0" applyNumberFormat="1" applyFont="1" applyFill="1" applyBorder="1" applyAlignment="1" quotePrefix="1">
      <alignment horizontal="center" vertical="top" wrapText="1"/>
    </xf>
    <xf numFmtId="4" fontId="22" fillId="0" borderId="20" xfId="0" applyNumberFormat="1" applyFont="1" applyFill="1" applyBorder="1" applyAlignment="1" quotePrefix="1">
      <alignment horizontal="center" vertical="justify" wrapText="1"/>
    </xf>
    <xf numFmtId="3" fontId="22" fillId="0" borderId="20" xfId="0" applyNumberFormat="1" applyFont="1" applyFill="1" applyBorder="1" applyAlignment="1" quotePrefix="1">
      <alignment horizontal="center" vertical="justify" wrapText="1"/>
    </xf>
    <xf numFmtId="3" fontId="22" fillId="0" borderId="20" xfId="0" applyNumberFormat="1" applyFont="1" applyFill="1" applyBorder="1" applyAlignment="1" quotePrefix="1">
      <alignment horizontal="center" vertical="center" wrapText="1"/>
    </xf>
    <xf numFmtId="4" fontId="22" fillId="0" borderId="31" xfId="0" applyNumberFormat="1" applyFont="1" applyFill="1" applyBorder="1" applyAlignment="1" quotePrefix="1">
      <alignment horizontal="center" vertical="top" wrapText="1"/>
    </xf>
    <xf numFmtId="3" fontId="34" fillId="0" borderId="20" xfId="0" applyNumberFormat="1" applyFont="1" applyFill="1" applyBorder="1" applyAlignment="1" quotePrefix="1">
      <alignment horizontal="center" vertical="justify" wrapText="1"/>
    </xf>
    <xf numFmtId="49" fontId="34" fillId="0" borderId="0" xfId="0" applyNumberFormat="1" applyFont="1" applyFill="1" applyBorder="1" applyAlignment="1" quotePrefix="1">
      <alignment horizontal="left" vertical="top" wrapText="1"/>
    </xf>
    <xf numFmtId="4" fontId="34" fillId="0" borderId="0" xfId="0" applyNumberFormat="1" applyFont="1" applyFill="1" applyBorder="1" applyAlignment="1" quotePrefix="1">
      <alignment horizontal="center" wrapText="1"/>
    </xf>
    <xf numFmtId="3" fontId="34" fillId="0" borderId="0" xfId="0" applyNumberFormat="1" applyFont="1" applyFill="1" applyBorder="1" applyAlignment="1" quotePrefix="1">
      <alignment horizontal="center" wrapText="1"/>
    </xf>
    <xf numFmtId="0" fontId="22" fillId="0" borderId="28" xfId="0" applyFont="1" applyFill="1" applyBorder="1" applyAlignment="1">
      <alignment horizontal="center" vertical="top" wrapText="1"/>
    </xf>
    <xf numFmtId="4" fontId="34" fillId="0" borderId="28" xfId="0" applyNumberFormat="1" applyFont="1" applyFill="1" applyBorder="1" applyAlignment="1" quotePrefix="1">
      <alignment horizontal="center" vertical="top" wrapText="1"/>
    </xf>
    <xf numFmtId="4" fontId="34" fillId="0" borderId="28" xfId="0" applyNumberFormat="1" applyFont="1" applyFill="1" applyBorder="1" applyAlignment="1" quotePrefix="1">
      <alignment horizontal="center" vertical="justify" wrapText="1"/>
    </xf>
    <xf numFmtId="4" fontId="37" fillId="0" borderId="2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wrapText="1"/>
    </xf>
    <xf numFmtId="3" fontId="24" fillId="0" borderId="20" xfId="0" applyNumberFormat="1" applyFont="1" applyFill="1" applyBorder="1" applyAlignment="1" quotePrefix="1">
      <alignment horizontal="center" vertical="top" wrapText="1"/>
    </xf>
    <xf numFmtId="3" fontId="24" fillId="0" borderId="20" xfId="0" applyNumberFormat="1" applyFont="1" applyFill="1" applyBorder="1" applyAlignment="1">
      <alignment horizontal="center" vertical="top"/>
    </xf>
    <xf numFmtId="3" fontId="24" fillId="0" borderId="27" xfId="0" applyNumberFormat="1" applyFont="1" applyFill="1" applyBorder="1" applyAlignment="1" quotePrefix="1">
      <alignment horizontal="center" vertical="top" wrapText="1"/>
    </xf>
    <xf numFmtId="3" fontId="24" fillId="0" borderId="30" xfId="0" applyNumberFormat="1" applyFont="1" applyFill="1" applyBorder="1" applyAlignment="1">
      <alignment horizontal="center" vertical="top" wrapText="1"/>
    </xf>
    <xf numFmtId="3" fontId="24" fillId="0" borderId="27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Alignment="1">
      <alignment horizontal="center" vertical="top"/>
    </xf>
    <xf numFmtId="3" fontId="24" fillId="0" borderId="20" xfId="0" applyNumberFormat="1" applyFont="1" applyFill="1" applyBorder="1" applyAlignment="1">
      <alignment horizontal="center" vertical="justify"/>
    </xf>
    <xf numFmtId="4" fontId="33" fillId="55" borderId="0" xfId="0" applyNumberFormat="1" applyFont="1" applyFill="1" applyBorder="1" applyAlignment="1">
      <alignment horizontal="center" vertical="top" wrapText="1"/>
    </xf>
    <xf numFmtId="2" fontId="24" fillId="0" borderId="27" xfId="0" applyNumberFormat="1" applyFont="1" applyFill="1" applyBorder="1" applyAlignment="1">
      <alignment horizontal="center" vertical="top" wrapText="1"/>
    </xf>
    <xf numFmtId="2" fontId="24" fillId="0" borderId="26" xfId="0" applyNumberFormat="1" applyFont="1" applyFill="1" applyBorder="1" applyAlignment="1">
      <alignment horizontal="center" vertical="top" wrapText="1"/>
    </xf>
    <xf numFmtId="2" fontId="24" fillId="0" borderId="20" xfId="0" applyNumberFormat="1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" fontId="24" fillId="55" borderId="20" xfId="0" applyNumberFormat="1" applyFont="1" applyFill="1" applyBorder="1" applyAlignment="1">
      <alignment horizontal="center" vertical="top" wrapText="1"/>
    </xf>
    <xf numFmtId="4" fontId="24" fillId="55" borderId="20" xfId="0" applyNumberFormat="1" applyFont="1" applyFill="1" applyBorder="1" applyAlignment="1">
      <alignment horizontal="center" vertical="top"/>
    </xf>
    <xf numFmtId="0" fontId="26" fillId="55" borderId="25" xfId="0" applyFont="1" applyFill="1" applyBorder="1" applyAlignment="1">
      <alignment horizontal="center" vertical="top"/>
    </xf>
    <xf numFmtId="0" fontId="27" fillId="55" borderId="20" xfId="0" applyFont="1" applyFill="1" applyBorder="1" applyAlignment="1">
      <alignment vertical="top"/>
    </xf>
    <xf numFmtId="0" fontId="27" fillId="55" borderId="20" xfId="0" applyFont="1" applyFill="1" applyBorder="1" applyAlignment="1">
      <alignment horizontal="center" vertical="top"/>
    </xf>
    <xf numFmtId="4" fontId="33" fillId="55" borderId="20" xfId="0" applyNumberFormat="1" applyFont="1" applyFill="1" applyBorder="1" applyAlignment="1">
      <alignment horizontal="center" vertical="top" wrapText="1"/>
    </xf>
    <xf numFmtId="3" fontId="33" fillId="55" borderId="20" xfId="0" applyNumberFormat="1" applyFont="1" applyFill="1" applyBorder="1" applyAlignment="1">
      <alignment horizontal="center" vertical="top" wrapText="1"/>
    </xf>
    <xf numFmtId="4" fontId="39" fillId="0" borderId="20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 vertical="center"/>
    </xf>
    <xf numFmtId="0" fontId="37" fillId="0" borderId="20" xfId="0" applyFont="1" applyFill="1" applyBorder="1" applyAlignment="1">
      <alignment horizontal="center" vertical="top"/>
    </xf>
    <xf numFmtId="4" fontId="25" fillId="0" borderId="0" xfId="0" applyNumberFormat="1" applyFont="1" applyFill="1" applyAlignment="1" quotePrefix="1">
      <alignment vertical="top" wrapText="1"/>
    </xf>
    <xf numFmtId="0" fontId="25" fillId="0" borderId="0" xfId="0" applyFont="1" applyFill="1" applyAlignment="1">
      <alignment vertical="top" wrapText="1"/>
    </xf>
    <xf numFmtId="4" fontId="25" fillId="0" borderId="0" xfId="0" applyNumberFormat="1" applyFont="1" applyFill="1" applyAlignment="1">
      <alignment vertical="top" wrapText="1"/>
    </xf>
    <xf numFmtId="0" fontId="33" fillId="0" borderId="25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4" fontId="33" fillId="0" borderId="20" xfId="0" applyNumberFormat="1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0" fontId="33" fillId="0" borderId="25" xfId="0" applyFont="1" applyFill="1" applyBorder="1" applyAlignment="1" quotePrefix="1">
      <alignment horizontal="center" vertical="top" wrapText="1"/>
    </xf>
    <xf numFmtId="2" fontId="33" fillId="0" borderId="25" xfId="0" applyNumberFormat="1" applyFont="1" applyFill="1" applyBorder="1" applyAlignment="1">
      <alignment horizontal="center" vertical="top" wrapText="1"/>
    </xf>
    <xf numFmtId="2" fontId="33" fillId="0" borderId="20" xfId="0" applyNumberFormat="1" applyFont="1" applyFill="1" applyBorder="1" applyAlignment="1">
      <alignment horizontal="center" vertical="top" wrapText="1"/>
    </xf>
    <xf numFmtId="2" fontId="33" fillId="0" borderId="28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33" fillId="0" borderId="20" xfId="0" applyFont="1" applyFill="1" applyBorder="1" applyAlignment="1" quotePrefix="1">
      <alignment horizontal="center" vertical="top" wrapText="1"/>
    </xf>
    <xf numFmtId="0" fontId="33" fillId="0" borderId="28" xfId="0" applyFont="1" applyFill="1" applyBorder="1" applyAlignment="1" quotePrefix="1">
      <alignment horizontal="center" vertical="top" wrapText="1"/>
    </xf>
    <xf numFmtId="49" fontId="24" fillId="0" borderId="20" xfId="0" applyNumberFormat="1" applyFont="1" applyFill="1" applyBorder="1" applyAlignment="1" quotePrefix="1">
      <alignment horizontal="center" vertical="top" wrapText="1"/>
    </xf>
    <xf numFmtId="4" fontId="24" fillId="0" borderId="20" xfId="0" applyNumberFormat="1" applyFont="1" applyFill="1" applyBorder="1" applyAlignment="1" quotePrefix="1">
      <alignment horizontal="center" vertical="top" wrapText="1"/>
    </xf>
    <xf numFmtId="0" fontId="24" fillId="0" borderId="25" xfId="0" applyFont="1" applyFill="1" applyBorder="1" applyAlignment="1" quotePrefix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 quotePrefix="1">
      <alignment horizontal="center" vertical="top" wrapText="1"/>
    </xf>
    <xf numFmtId="4" fontId="24" fillId="0" borderId="20" xfId="0" applyNumberFormat="1" applyFont="1" applyFill="1" applyBorder="1" applyAlignment="1">
      <alignment horizontal="center" vertical="top" wrapText="1"/>
    </xf>
    <xf numFmtId="2" fontId="24" fillId="0" borderId="20" xfId="0" applyNumberFormat="1" applyFont="1" applyFill="1" applyBorder="1" applyAlignment="1" quotePrefix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4" fontId="29" fillId="0" borderId="0" xfId="0" applyNumberFormat="1" applyFont="1" applyFill="1" applyAlignment="1">
      <alignment horizontal="center" vertical="top" wrapText="1"/>
    </xf>
    <xf numFmtId="4" fontId="24" fillId="0" borderId="26" xfId="0" applyNumberFormat="1" applyFont="1" applyFill="1" applyBorder="1" applyAlignment="1" quotePrefix="1">
      <alignment horizontal="center" vertical="top" wrapText="1"/>
    </xf>
    <xf numFmtId="4" fontId="24" fillId="0" borderId="27" xfId="0" applyNumberFormat="1" applyFont="1" applyFill="1" applyBorder="1" applyAlignment="1" quotePrefix="1">
      <alignment horizontal="center" vertical="top" wrapText="1"/>
    </xf>
    <xf numFmtId="4" fontId="24" fillId="0" borderId="32" xfId="0" applyNumberFormat="1" applyFont="1" applyFill="1" applyBorder="1" applyAlignment="1">
      <alignment horizontal="center" vertical="top" wrapText="1"/>
    </xf>
    <xf numFmtId="4" fontId="24" fillId="0" borderId="29" xfId="0" applyNumberFormat="1" applyFont="1" applyFill="1" applyBorder="1" applyAlignment="1">
      <alignment horizontal="center" vertical="top" wrapText="1"/>
    </xf>
    <xf numFmtId="4" fontId="32" fillId="0" borderId="20" xfId="0" applyNumberFormat="1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 wrapText="1"/>
    </xf>
    <xf numFmtId="4" fontId="31" fillId="0" borderId="24" xfId="0" applyNumberFormat="1" applyFont="1" applyFill="1" applyBorder="1" applyAlignment="1">
      <alignment horizontal="center" vertical="top" wrapText="1"/>
    </xf>
    <xf numFmtId="3" fontId="24" fillId="0" borderId="20" xfId="0" applyNumberFormat="1" applyFont="1" applyFill="1" applyBorder="1" applyAlignment="1" quotePrefix="1">
      <alignment horizontal="center"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0" fontId="37" fillId="0" borderId="26" xfId="0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center" vertical="top" wrapText="1"/>
    </xf>
    <xf numFmtId="2" fontId="24" fillId="0" borderId="20" xfId="0" applyNumberFormat="1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49" fontId="24" fillId="0" borderId="28" xfId="0" applyNumberFormat="1" applyFont="1" applyFill="1" applyBorder="1" applyAlignment="1" quotePrefix="1">
      <alignment horizontal="center" vertical="top" wrapText="1"/>
    </xf>
    <xf numFmtId="0" fontId="34" fillId="0" borderId="25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34" fillId="0" borderId="2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34" fillId="0" borderId="25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0" borderId="25" xfId="0" applyFont="1" applyFill="1" applyBorder="1" applyAlignment="1" quotePrefix="1">
      <alignment horizontal="center" vertical="top" wrapText="1"/>
    </xf>
    <xf numFmtId="0" fontId="34" fillId="0" borderId="20" xfId="0" applyFont="1" applyFill="1" applyBorder="1" applyAlignment="1" quotePrefix="1">
      <alignment horizontal="center" vertical="top" wrapText="1"/>
    </xf>
    <xf numFmtId="0" fontId="34" fillId="0" borderId="28" xfId="0" applyFont="1" applyFill="1" applyBorder="1" applyAlignment="1" quotePrefix="1">
      <alignment horizontal="center" vertical="top" wrapText="1"/>
    </xf>
    <xf numFmtId="0" fontId="22" fillId="0" borderId="20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 quotePrefix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</cellXfs>
  <cellStyles count="175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2 2" xfId="33"/>
    <cellStyle name="20% - Акцент5 3" xfId="34"/>
    <cellStyle name="20% — акцент6" xfId="35"/>
    <cellStyle name="20% - Акцент6 2" xfId="36"/>
    <cellStyle name="20% - Акцент6 2 2" xfId="37"/>
    <cellStyle name="20% - Акцент6 3" xfId="38"/>
    <cellStyle name="40% — акцент1" xfId="39"/>
    <cellStyle name="40% - Акцент1 2" xfId="40"/>
    <cellStyle name="40% - Акцент1 2 2" xfId="41"/>
    <cellStyle name="40% - Акцент1 3" xfId="42"/>
    <cellStyle name="40% — акцент2" xfId="43"/>
    <cellStyle name="40% - Акцент2 2" xfId="44"/>
    <cellStyle name="40% - Акцент2 2 2" xfId="45"/>
    <cellStyle name="40% - Акцент2 3" xfId="46"/>
    <cellStyle name="40% — акцент3" xfId="47"/>
    <cellStyle name="40% - Акцент3 2" xfId="48"/>
    <cellStyle name="40% - Акцент3 2 2" xfId="49"/>
    <cellStyle name="40% - Акцент3 3" xfId="50"/>
    <cellStyle name="40% — акцент4" xfId="51"/>
    <cellStyle name="40% - Акцент4 2" xfId="52"/>
    <cellStyle name="40% - Акцент4 2 2" xfId="53"/>
    <cellStyle name="40% - Акцент4 3" xfId="54"/>
    <cellStyle name="40% — акцент5" xfId="55"/>
    <cellStyle name="40% - Акцент5 2" xfId="56"/>
    <cellStyle name="40% - Акцент5 2 2" xfId="57"/>
    <cellStyle name="40% - Акцент5 3" xfId="58"/>
    <cellStyle name="40% — акцент6" xfId="59"/>
    <cellStyle name="40% - Акцент6 2" xfId="60"/>
    <cellStyle name="40% - Акцент6 2 2" xfId="61"/>
    <cellStyle name="40% - Акцент6 3" xfId="62"/>
    <cellStyle name="60% — акцент1" xfId="63"/>
    <cellStyle name="60% - Акцент1 2" xfId="64"/>
    <cellStyle name="60% - Акцент1 3" xfId="65"/>
    <cellStyle name="60% — акцент2" xfId="66"/>
    <cellStyle name="60% - Акцент2 2" xfId="67"/>
    <cellStyle name="60% - Акцент2 3" xfId="68"/>
    <cellStyle name="60% — акцент3" xfId="69"/>
    <cellStyle name="60% - Акцент3 2" xfId="70"/>
    <cellStyle name="60% - Акцент3 3" xfId="71"/>
    <cellStyle name="60% — акцент4" xfId="72"/>
    <cellStyle name="60% - Акцент4 2" xfId="73"/>
    <cellStyle name="60% - Акцент4 3" xfId="74"/>
    <cellStyle name="60% — акцент5" xfId="75"/>
    <cellStyle name="60% - Акцент5 2" xfId="76"/>
    <cellStyle name="60% - Акцент5 3" xfId="77"/>
    <cellStyle name="60% —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Гиперссылка 2" xfId="109"/>
    <cellStyle name="Currency" xfId="110"/>
    <cellStyle name="Currency [0]" xfId="111"/>
    <cellStyle name="Денежный 2" xfId="112"/>
    <cellStyle name="Денежный 2 2" xfId="113"/>
    <cellStyle name="Денежный 3" xfId="114"/>
    <cellStyle name="Денежный 3 2" xfId="115"/>
    <cellStyle name="Денежный[0]" xfId="116"/>
    <cellStyle name="Денежный[0] 2" xfId="117"/>
    <cellStyle name="Заголовок 1" xfId="118"/>
    <cellStyle name="Заголовок 1 2" xfId="119"/>
    <cellStyle name="Заголовок 1 3" xfId="120"/>
    <cellStyle name="Заголовок 2" xfId="121"/>
    <cellStyle name="Заголовок 2 2" xfId="122"/>
    <cellStyle name="Заголовок 2 3" xfId="123"/>
    <cellStyle name="Заголовок 3" xfId="124"/>
    <cellStyle name="Заголовок 3 2" xfId="125"/>
    <cellStyle name="Заголовок 3 3" xfId="126"/>
    <cellStyle name="Заголовок 4" xfId="127"/>
    <cellStyle name="Заголовок 4 2" xfId="128"/>
    <cellStyle name="Заголовок 4 3" xfId="129"/>
    <cellStyle name="Запятая" xfId="130"/>
    <cellStyle name="Запятая 2" xfId="131"/>
    <cellStyle name="Запятая[0]" xfId="132"/>
    <cellStyle name="Запятая[0] 2" xfId="133"/>
    <cellStyle name="Итог" xfId="134"/>
    <cellStyle name="Итог 2" xfId="135"/>
    <cellStyle name="Итог 3" xfId="136"/>
    <cellStyle name="Контрольная ячейка" xfId="137"/>
    <cellStyle name="Контрольная ячейка 2" xfId="138"/>
    <cellStyle name="Контрольная ячейка 3" xfId="139"/>
    <cellStyle name="Название" xfId="140"/>
    <cellStyle name="Название 2" xfId="141"/>
    <cellStyle name="Название 3" xfId="142"/>
    <cellStyle name="Нейтральный" xfId="143"/>
    <cellStyle name="Нейтральный 2" xfId="144"/>
    <cellStyle name="Нейтральный 3" xfId="145"/>
    <cellStyle name="Обычный 2" xfId="146"/>
    <cellStyle name="Обычный 2 2" xfId="147"/>
    <cellStyle name="Обычный 2 3" xfId="148"/>
    <cellStyle name="Обычный 3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8" xfId="155"/>
    <cellStyle name="Обычный 8 2" xfId="156"/>
    <cellStyle name="Обычный 9" xfId="157"/>
    <cellStyle name="Followed Hyperlink" xfId="158"/>
    <cellStyle name="Плохой" xfId="159"/>
    <cellStyle name="Плохой 2" xfId="160"/>
    <cellStyle name="Плохой 3" xfId="161"/>
    <cellStyle name="Пояснение" xfId="162"/>
    <cellStyle name="Пояснение 2" xfId="163"/>
    <cellStyle name="Пояснение 3" xfId="164"/>
    <cellStyle name="Примечание" xfId="165"/>
    <cellStyle name="Примечание 2" xfId="166"/>
    <cellStyle name="Примечание 2 2" xfId="167"/>
    <cellStyle name="Примечание 3" xfId="168"/>
    <cellStyle name="Примечание 3 2" xfId="169"/>
    <cellStyle name="Процентная" xfId="170"/>
    <cellStyle name="Процентная 2" xfId="171"/>
    <cellStyle name="Percent" xfId="172"/>
    <cellStyle name="Связанная ячейка" xfId="173"/>
    <cellStyle name="Связанная ячейка 2" xfId="174"/>
    <cellStyle name="Связанная ячейка 3" xfId="175"/>
    <cellStyle name="Текст предупреждения" xfId="176"/>
    <cellStyle name="Текст предупреждения 2" xfId="177"/>
    <cellStyle name="Текст предупреждения 3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Финансовый 3 2" xfId="184"/>
    <cellStyle name="Финансовый 4" xfId="185"/>
    <cellStyle name="Хороший" xfId="186"/>
    <cellStyle name="Хороший 2" xfId="187"/>
    <cellStyle name="Хороший 3" xfId="188"/>
  </cellStyles>
  <dxfs count="4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1"/>
  <sheetViews>
    <sheetView tabSelected="1" view="pageBreakPreview" zoomScale="85" zoomScaleNormal="49" zoomScaleSheetLayoutView="85" zoomScalePageLayoutView="46" workbookViewId="0" topLeftCell="A1">
      <selection activeCell="U79" sqref="U79"/>
    </sheetView>
  </sheetViews>
  <sheetFormatPr defaultColWidth="9.00390625" defaultRowHeight="12.75"/>
  <cols>
    <col min="1" max="1" width="6.125" style="9" customWidth="1"/>
    <col min="2" max="2" width="26.75390625" style="1" customWidth="1"/>
    <col min="3" max="3" width="10.25390625" style="1" customWidth="1"/>
    <col min="4" max="4" width="10.00390625" style="1" customWidth="1"/>
    <col min="5" max="5" width="8.625" style="7" customWidth="1"/>
    <col min="6" max="6" width="7.375" style="1" customWidth="1"/>
    <col min="7" max="7" width="8.00390625" style="1" customWidth="1"/>
    <col min="8" max="10" width="14.25390625" style="6" customWidth="1"/>
    <col min="11" max="11" width="16.25390625" style="264" customWidth="1"/>
    <col min="12" max="12" width="20.125" style="1" customWidth="1"/>
    <col min="13" max="13" width="17.00390625" style="6" customWidth="1"/>
    <col min="14" max="14" width="16.00390625" style="6" customWidth="1"/>
    <col min="15" max="15" width="14.25390625" style="6" customWidth="1"/>
    <col min="16" max="16" width="13.125" style="6" customWidth="1"/>
    <col min="17" max="17" width="17.625" style="6" customWidth="1"/>
    <col min="18" max="18" width="15.00390625" style="5" customWidth="1"/>
    <col min="19" max="19" width="12.375" style="5" customWidth="1"/>
    <col min="20" max="20" width="12.00390625" style="1" customWidth="1"/>
    <col min="21" max="21" width="12.375" style="11" customWidth="1"/>
    <col min="22" max="22" width="9.125" style="295" customWidth="1"/>
    <col min="23" max="16384" width="9.125" style="1" customWidth="1"/>
  </cols>
  <sheetData>
    <row r="1" spans="1:21" ht="15" customHeight="1">
      <c r="A1" s="10"/>
      <c r="Q1" s="297" t="s">
        <v>387</v>
      </c>
      <c r="R1" s="298"/>
      <c r="S1" s="298"/>
      <c r="T1" s="298"/>
      <c r="U1" s="298"/>
    </row>
    <row r="2" spans="1:21" ht="15" customHeight="1">
      <c r="A2" s="10"/>
      <c r="Q2" s="299"/>
      <c r="R2" s="298"/>
      <c r="S2" s="298"/>
      <c r="T2" s="298"/>
      <c r="U2" s="298"/>
    </row>
    <row r="3" spans="1:21" ht="15" customHeight="1">
      <c r="A3" s="10"/>
      <c r="Q3" s="299"/>
      <c r="R3" s="298"/>
      <c r="S3" s="298"/>
      <c r="T3" s="298"/>
      <c r="U3" s="298"/>
    </row>
    <row r="4" spans="1:21" ht="15" customHeight="1">
      <c r="A4" s="10"/>
      <c r="Q4" s="299"/>
      <c r="R4" s="298"/>
      <c r="S4" s="298"/>
      <c r="T4" s="298"/>
      <c r="U4" s="298"/>
    </row>
    <row r="5" spans="1:21" ht="12.75" customHeight="1">
      <c r="A5" s="10"/>
      <c r="Q5" s="299"/>
      <c r="R5" s="298"/>
      <c r="S5" s="298"/>
      <c r="T5" s="298"/>
      <c r="U5" s="298"/>
    </row>
    <row r="6" spans="1:21" ht="15" customHeight="1">
      <c r="A6" s="10"/>
      <c r="Q6" s="299"/>
      <c r="R6" s="298"/>
      <c r="S6" s="298"/>
      <c r="T6" s="298"/>
      <c r="U6" s="298"/>
    </row>
    <row r="7" spans="1:21" ht="15" customHeight="1">
      <c r="A7" s="10"/>
      <c r="Q7" s="299"/>
      <c r="R7" s="298"/>
      <c r="S7" s="298"/>
      <c r="T7" s="298"/>
      <c r="U7" s="298"/>
    </row>
    <row r="8" spans="1:21" ht="15" customHeight="1">
      <c r="A8" s="10"/>
      <c r="Q8" s="299"/>
      <c r="R8" s="298"/>
      <c r="S8" s="298"/>
      <c r="T8" s="298"/>
      <c r="U8" s="298"/>
    </row>
    <row r="9" spans="1:21" ht="15" customHeight="1">
      <c r="A9" s="10"/>
      <c r="Q9" s="299"/>
      <c r="R9" s="298"/>
      <c r="S9" s="298"/>
      <c r="T9" s="298"/>
      <c r="U9" s="298"/>
    </row>
    <row r="10" spans="1:21" ht="15">
      <c r="A10" s="46"/>
      <c r="B10" s="47"/>
      <c r="C10" s="47"/>
      <c r="D10" s="47"/>
      <c r="E10" s="48"/>
      <c r="F10" s="47"/>
      <c r="G10" s="47"/>
      <c r="H10" s="49"/>
      <c r="I10" s="49"/>
      <c r="J10" s="49"/>
      <c r="K10" s="265"/>
      <c r="L10" s="47"/>
      <c r="M10" s="49"/>
      <c r="N10" s="49"/>
      <c r="O10" s="49"/>
      <c r="P10" s="49"/>
      <c r="Q10" s="49"/>
      <c r="R10" s="50"/>
      <c r="S10" s="50"/>
      <c r="T10" s="47"/>
      <c r="U10" s="51"/>
    </row>
    <row r="11" spans="1:21" ht="15.75" customHeight="1">
      <c r="A11" s="46"/>
      <c r="B11" s="47"/>
      <c r="C11" s="47"/>
      <c r="D11" s="47"/>
      <c r="E11" s="48"/>
      <c r="F11" s="47"/>
      <c r="G11" s="47"/>
      <c r="H11" s="49"/>
      <c r="I11" s="49"/>
      <c r="J11" s="49"/>
      <c r="K11" s="265"/>
      <c r="L11" s="47"/>
      <c r="M11" s="49"/>
      <c r="N11" s="49"/>
      <c r="O11" s="52"/>
      <c r="P11" s="53"/>
      <c r="Q11" s="297" t="s">
        <v>823</v>
      </c>
      <c r="R11" s="298"/>
      <c r="S11" s="298"/>
      <c r="T11" s="298"/>
      <c r="U11" s="298"/>
    </row>
    <row r="12" spans="1:21" ht="15.75" customHeight="1">
      <c r="A12" s="46"/>
      <c r="B12" s="47"/>
      <c r="C12" s="47"/>
      <c r="D12" s="47"/>
      <c r="E12" s="48"/>
      <c r="F12" s="47"/>
      <c r="G12" s="47"/>
      <c r="H12" s="49"/>
      <c r="I12" s="49"/>
      <c r="J12" s="49"/>
      <c r="K12" s="265"/>
      <c r="L12" s="47"/>
      <c r="M12" s="49"/>
      <c r="N12" s="49"/>
      <c r="O12" s="54"/>
      <c r="P12" s="55"/>
      <c r="Q12" s="299"/>
      <c r="R12" s="298"/>
      <c r="S12" s="298"/>
      <c r="T12" s="298"/>
      <c r="U12" s="298"/>
    </row>
    <row r="13" spans="1:21" ht="15.75" customHeight="1">
      <c r="A13" s="46"/>
      <c r="B13" s="47"/>
      <c r="C13" s="47"/>
      <c r="D13" s="47"/>
      <c r="E13" s="48"/>
      <c r="F13" s="47"/>
      <c r="G13" s="47"/>
      <c r="H13" s="49"/>
      <c r="I13" s="49"/>
      <c r="J13" s="49"/>
      <c r="K13" s="265"/>
      <c r="L13" s="47"/>
      <c r="M13" s="49"/>
      <c r="N13" s="49"/>
      <c r="O13" s="54"/>
      <c r="P13" s="55"/>
      <c r="Q13" s="299"/>
      <c r="R13" s="298"/>
      <c r="S13" s="298"/>
      <c r="T13" s="298"/>
      <c r="U13" s="298"/>
    </row>
    <row r="14" spans="1:21" ht="15.75" customHeight="1">
      <c r="A14" s="46"/>
      <c r="B14" s="47"/>
      <c r="C14" s="47"/>
      <c r="D14" s="47"/>
      <c r="E14" s="48"/>
      <c r="F14" s="47"/>
      <c r="G14" s="47"/>
      <c r="H14" s="49"/>
      <c r="I14" s="49"/>
      <c r="J14" s="49"/>
      <c r="K14" s="265"/>
      <c r="L14" s="47"/>
      <c r="M14" s="49"/>
      <c r="N14" s="49"/>
      <c r="O14" s="54"/>
      <c r="P14" s="55"/>
      <c r="Q14" s="299"/>
      <c r="R14" s="298"/>
      <c r="S14" s="298"/>
      <c r="T14" s="298"/>
      <c r="U14" s="298"/>
    </row>
    <row r="15" spans="1:21" ht="15.75" customHeight="1">
      <c r="A15" s="46"/>
      <c r="B15" s="47"/>
      <c r="C15" s="47"/>
      <c r="D15" s="47"/>
      <c r="E15" s="48"/>
      <c r="F15" s="47"/>
      <c r="G15" s="47"/>
      <c r="H15" s="49"/>
      <c r="I15" s="49"/>
      <c r="J15" s="49"/>
      <c r="K15" s="265"/>
      <c r="L15" s="47"/>
      <c r="M15" s="49"/>
      <c r="N15" s="49"/>
      <c r="O15" s="54"/>
      <c r="P15" s="55"/>
      <c r="Q15" s="299"/>
      <c r="R15" s="298"/>
      <c r="S15" s="298"/>
      <c r="T15" s="298"/>
      <c r="U15" s="298"/>
    </row>
    <row r="16" spans="1:21" ht="15.75" customHeight="1">
      <c r="A16" s="46"/>
      <c r="B16" s="47"/>
      <c r="C16" s="47"/>
      <c r="D16" s="47"/>
      <c r="E16" s="48"/>
      <c r="F16" s="47"/>
      <c r="G16" s="47"/>
      <c r="H16" s="49"/>
      <c r="I16" s="49"/>
      <c r="J16" s="49"/>
      <c r="K16" s="265"/>
      <c r="L16" s="47"/>
      <c r="M16" s="49"/>
      <c r="N16" s="49"/>
      <c r="O16" s="54"/>
      <c r="P16" s="55"/>
      <c r="Q16" s="299"/>
      <c r="R16" s="298"/>
      <c r="S16" s="298"/>
      <c r="T16" s="298"/>
      <c r="U16" s="298"/>
    </row>
    <row r="17" spans="1:21" ht="14.25" customHeight="1">
      <c r="A17" s="46"/>
      <c r="B17" s="51"/>
      <c r="C17" s="47"/>
      <c r="D17" s="47"/>
      <c r="E17" s="48"/>
      <c r="F17" s="47"/>
      <c r="G17" s="47"/>
      <c r="H17" s="49"/>
      <c r="I17" s="49"/>
      <c r="J17" s="49"/>
      <c r="K17" s="265"/>
      <c r="L17" s="47"/>
      <c r="M17" s="49"/>
      <c r="N17" s="49"/>
      <c r="O17" s="54"/>
      <c r="P17" s="55"/>
      <c r="Q17" s="299"/>
      <c r="R17" s="298"/>
      <c r="S17" s="298"/>
      <c r="T17" s="298"/>
      <c r="U17" s="298"/>
    </row>
    <row r="18" spans="1:21" ht="15.75" customHeight="1">
      <c r="A18" s="46"/>
      <c r="B18" s="51"/>
      <c r="C18" s="47"/>
      <c r="D18" s="47"/>
      <c r="E18" s="48"/>
      <c r="F18" s="47"/>
      <c r="G18" s="47"/>
      <c r="H18" s="49"/>
      <c r="I18" s="49"/>
      <c r="J18" s="49"/>
      <c r="K18" s="265"/>
      <c r="L18" s="47"/>
      <c r="M18" s="49"/>
      <c r="N18" s="49"/>
      <c r="O18" s="54"/>
      <c r="P18" s="55"/>
      <c r="Q18" s="299"/>
      <c r="R18" s="298"/>
      <c r="S18" s="298"/>
      <c r="T18" s="298"/>
      <c r="U18" s="298"/>
    </row>
    <row r="19" spans="1:21" ht="15" customHeight="1">
      <c r="A19" s="56"/>
      <c r="B19" s="57"/>
      <c r="C19" s="58"/>
      <c r="D19" s="58"/>
      <c r="E19" s="59"/>
      <c r="F19" s="58"/>
      <c r="G19" s="58"/>
      <c r="H19" s="60"/>
      <c r="I19" s="60"/>
      <c r="J19" s="60"/>
      <c r="K19" s="266"/>
      <c r="L19" s="58"/>
      <c r="M19" s="60"/>
      <c r="N19" s="60"/>
      <c r="O19" s="60"/>
      <c r="P19" s="60"/>
      <c r="Q19" s="299"/>
      <c r="R19" s="298"/>
      <c r="S19" s="298"/>
      <c r="T19" s="298"/>
      <c r="U19" s="298"/>
    </row>
    <row r="20" spans="1:21" ht="16.5">
      <c r="A20" s="319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20"/>
      <c r="R20" s="319"/>
      <c r="S20" s="319"/>
      <c r="T20" s="319"/>
      <c r="U20" s="51"/>
    </row>
    <row r="21" spans="1:21" ht="48.75" customHeight="1">
      <c r="A21" s="61"/>
      <c r="B21" s="326" t="s">
        <v>512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8"/>
      <c r="R21" s="327"/>
      <c r="S21" s="327"/>
      <c r="T21" s="327"/>
      <c r="U21" s="51"/>
    </row>
    <row r="22" spans="1:22" s="2" customFormat="1" ht="31.5" customHeight="1">
      <c r="A22" s="314" t="s">
        <v>356</v>
      </c>
      <c r="B22" s="315" t="s">
        <v>846</v>
      </c>
      <c r="C22" s="315" t="s">
        <v>1438</v>
      </c>
      <c r="D22" s="315"/>
      <c r="E22" s="316" t="s">
        <v>363</v>
      </c>
      <c r="F22" s="316" t="s">
        <v>488</v>
      </c>
      <c r="G22" s="316" t="s">
        <v>1381</v>
      </c>
      <c r="H22" s="313" t="s">
        <v>492</v>
      </c>
      <c r="I22" s="317" t="s">
        <v>1442</v>
      </c>
      <c r="J22" s="317"/>
      <c r="K22" s="329" t="s">
        <v>663</v>
      </c>
      <c r="L22" s="316" t="s">
        <v>1642</v>
      </c>
      <c r="M22" s="334" t="s">
        <v>366</v>
      </c>
      <c r="N22" s="334"/>
      <c r="O22" s="334"/>
      <c r="P22" s="334"/>
      <c r="Q22" s="317"/>
      <c r="R22" s="318" t="s">
        <v>1037</v>
      </c>
      <c r="S22" s="318" t="s">
        <v>1434</v>
      </c>
      <c r="T22" s="312" t="s">
        <v>373</v>
      </c>
      <c r="U22" s="336" t="s">
        <v>555</v>
      </c>
      <c r="V22" s="331" t="s">
        <v>1673</v>
      </c>
    </row>
    <row r="23" spans="1:22" s="2" customFormat="1" ht="14.25">
      <c r="A23" s="314"/>
      <c r="B23" s="315"/>
      <c r="C23" s="316" t="s">
        <v>1036</v>
      </c>
      <c r="D23" s="316" t="s">
        <v>1380</v>
      </c>
      <c r="E23" s="315"/>
      <c r="F23" s="315"/>
      <c r="G23" s="315"/>
      <c r="H23" s="313"/>
      <c r="I23" s="317" t="s">
        <v>1439</v>
      </c>
      <c r="J23" s="313" t="s">
        <v>486</v>
      </c>
      <c r="K23" s="330"/>
      <c r="L23" s="315"/>
      <c r="M23" s="317" t="s">
        <v>1439</v>
      </c>
      <c r="N23" s="313" t="s">
        <v>487</v>
      </c>
      <c r="O23" s="321" t="s">
        <v>364</v>
      </c>
      <c r="P23" s="323" t="s">
        <v>1440</v>
      </c>
      <c r="Q23" s="317" t="s">
        <v>1643</v>
      </c>
      <c r="R23" s="318"/>
      <c r="S23" s="318"/>
      <c r="T23" s="312"/>
      <c r="U23" s="336"/>
      <c r="V23" s="332"/>
    </row>
    <row r="24" spans="1:22" s="2" customFormat="1" ht="332.25" customHeight="1">
      <c r="A24" s="314"/>
      <c r="B24" s="315"/>
      <c r="C24" s="335"/>
      <c r="D24" s="315"/>
      <c r="E24" s="315"/>
      <c r="F24" s="315"/>
      <c r="G24" s="315"/>
      <c r="H24" s="313"/>
      <c r="I24" s="317"/>
      <c r="J24" s="317"/>
      <c r="K24" s="330"/>
      <c r="L24" s="315"/>
      <c r="M24" s="325"/>
      <c r="N24" s="313"/>
      <c r="O24" s="322"/>
      <c r="P24" s="324"/>
      <c r="Q24" s="313"/>
      <c r="R24" s="318"/>
      <c r="S24" s="318"/>
      <c r="T24" s="312"/>
      <c r="U24" s="336"/>
      <c r="V24" s="333"/>
    </row>
    <row r="25" spans="1:22" s="2" customFormat="1" ht="15">
      <c r="A25" s="70"/>
      <c r="B25" s="68"/>
      <c r="C25" s="68"/>
      <c r="D25" s="71"/>
      <c r="E25" s="68"/>
      <c r="F25" s="68"/>
      <c r="G25" s="68"/>
      <c r="H25" s="37" t="s">
        <v>1441</v>
      </c>
      <c r="I25" s="37" t="s">
        <v>1441</v>
      </c>
      <c r="J25" s="37" t="s">
        <v>1441</v>
      </c>
      <c r="K25" s="36" t="s">
        <v>1443</v>
      </c>
      <c r="L25" s="24"/>
      <c r="M25" s="37" t="s">
        <v>1444</v>
      </c>
      <c r="N25" s="37" t="s">
        <v>1444</v>
      </c>
      <c r="O25" s="37" t="s">
        <v>1444</v>
      </c>
      <c r="P25" s="37" t="s">
        <v>1444</v>
      </c>
      <c r="Q25" s="37" t="s">
        <v>1444</v>
      </c>
      <c r="R25" s="29" t="s">
        <v>357</v>
      </c>
      <c r="S25" s="29" t="s">
        <v>1445</v>
      </c>
      <c r="T25" s="74"/>
      <c r="U25" s="75" t="s">
        <v>1444</v>
      </c>
      <c r="V25" s="296"/>
    </row>
    <row r="26" spans="1:22" s="2" customFormat="1" ht="15">
      <c r="A26" s="70">
        <v>1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  <c r="G26" s="24">
        <v>7</v>
      </c>
      <c r="H26" s="36">
        <v>8</v>
      </c>
      <c r="I26" s="36">
        <v>9</v>
      </c>
      <c r="J26" s="36">
        <v>10</v>
      </c>
      <c r="K26" s="36">
        <v>11</v>
      </c>
      <c r="L26" s="24">
        <v>12</v>
      </c>
      <c r="M26" s="67">
        <v>13</v>
      </c>
      <c r="N26" s="67">
        <v>14</v>
      </c>
      <c r="O26" s="67">
        <v>15</v>
      </c>
      <c r="P26" s="67">
        <v>16</v>
      </c>
      <c r="Q26" s="67">
        <v>17</v>
      </c>
      <c r="R26" s="35">
        <v>18</v>
      </c>
      <c r="S26" s="35">
        <v>19</v>
      </c>
      <c r="T26" s="76" t="s">
        <v>1638</v>
      </c>
      <c r="U26" s="77" t="s">
        <v>493</v>
      </c>
      <c r="V26" s="296">
        <v>22</v>
      </c>
    </row>
    <row r="27" spans="1:22" s="2" customFormat="1" ht="15">
      <c r="A27" s="300" t="s">
        <v>1153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3"/>
      <c r="V27" s="296"/>
    </row>
    <row r="28" spans="1:22" s="2" customFormat="1" ht="15">
      <c r="A28" s="300" t="s">
        <v>383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2"/>
      <c r="R28" s="301"/>
      <c r="S28" s="301"/>
      <c r="T28" s="301"/>
      <c r="U28" s="303"/>
      <c r="V28" s="296"/>
    </row>
    <row r="29" spans="1:22" s="2" customFormat="1" ht="45">
      <c r="A29" s="70">
        <v>1</v>
      </c>
      <c r="B29" s="82" t="s">
        <v>1397</v>
      </c>
      <c r="C29" s="24">
        <v>1970</v>
      </c>
      <c r="D29" s="24"/>
      <c r="E29" s="24" t="s">
        <v>374</v>
      </c>
      <c r="F29" s="24">
        <v>2</v>
      </c>
      <c r="G29" s="24">
        <v>1</v>
      </c>
      <c r="H29" s="37">
        <v>280.9</v>
      </c>
      <c r="I29" s="37">
        <v>274.8</v>
      </c>
      <c r="J29" s="37">
        <v>274.8</v>
      </c>
      <c r="K29" s="36">
        <v>16</v>
      </c>
      <c r="L29" s="37" t="s">
        <v>489</v>
      </c>
      <c r="M29" s="37">
        <v>581815.4700000001</v>
      </c>
      <c r="N29" s="37"/>
      <c r="O29" s="37"/>
      <c r="P29" s="37"/>
      <c r="Q29" s="37">
        <v>581815.4700000001</v>
      </c>
      <c r="R29" s="37">
        <v>2197.69</v>
      </c>
      <c r="S29" s="29">
        <v>2517.6</v>
      </c>
      <c r="T29" s="24" t="s">
        <v>1359</v>
      </c>
      <c r="U29" s="83">
        <v>6.3</v>
      </c>
      <c r="V29" s="296">
        <v>2018</v>
      </c>
    </row>
    <row r="30" spans="1:22" s="2" customFormat="1" ht="45">
      <c r="A30" s="70">
        <v>2</v>
      </c>
      <c r="B30" s="82" t="s">
        <v>1527</v>
      </c>
      <c r="C30" s="24">
        <v>1970</v>
      </c>
      <c r="D30" s="24"/>
      <c r="E30" s="24" t="s">
        <v>374</v>
      </c>
      <c r="F30" s="24">
        <v>2</v>
      </c>
      <c r="G30" s="24">
        <v>1</v>
      </c>
      <c r="H30" s="37">
        <v>380.5</v>
      </c>
      <c r="I30" s="37">
        <v>348.5</v>
      </c>
      <c r="J30" s="37">
        <v>305.8</v>
      </c>
      <c r="K30" s="36">
        <v>18</v>
      </c>
      <c r="L30" s="37" t="s">
        <v>489</v>
      </c>
      <c r="M30" s="37">
        <v>822629.49</v>
      </c>
      <c r="N30" s="37"/>
      <c r="O30" s="37"/>
      <c r="P30" s="37"/>
      <c r="Q30" s="37">
        <v>822629.49</v>
      </c>
      <c r="R30" s="37">
        <v>2197.69</v>
      </c>
      <c r="S30" s="29">
        <v>2517.6</v>
      </c>
      <c r="T30" s="24" t="s">
        <v>1359</v>
      </c>
      <c r="U30" s="83">
        <v>6.3</v>
      </c>
      <c r="V30" s="296">
        <v>2018</v>
      </c>
    </row>
    <row r="31" spans="1:22" s="2" customFormat="1" ht="15">
      <c r="A31" s="70"/>
      <c r="B31" s="84" t="s">
        <v>491</v>
      </c>
      <c r="C31" s="24"/>
      <c r="D31" s="24"/>
      <c r="E31" s="24"/>
      <c r="F31" s="24"/>
      <c r="G31" s="24"/>
      <c r="H31" s="81">
        <f>SUM(H29:H30)</f>
        <v>661.4</v>
      </c>
      <c r="I31" s="81">
        <f aca="true" t="shared" si="0" ref="I31:Q31">SUM(I29:I30)</f>
        <v>623.3</v>
      </c>
      <c r="J31" s="81">
        <f t="shared" si="0"/>
        <v>580.6</v>
      </c>
      <c r="K31" s="98">
        <f t="shared" si="0"/>
        <v>34</v>
      </c>
      <c r="L31" s="81"/>
      <c r="M31" s="81">
        <f t="shared" si="0"/>
        <v>1404444.96</v>
      </c>
      <c r="N31" s="81"/>
      <c r="O31" s="81"/>
      <c r="P31" s="81"/>
      <c r="Q31" s="81">
        <f t="shared" si="0"/>
        <v>1404444.96</v>
      </c>
      <c r="R31" s="81">
        <v>2197.69</v>
      </c>
      <c r="S31" s="29"/>
      <c r="T31" s="76"/>
      <c r="U31" s="85"/>
      <c r="V31" s="296"/>
    </row>
    <row r="32" spans="1:22" s="2" customFormat="1" ht="15">
      <c r="A32" s="300" t="s">
        <v>1665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2"/>
      <c r="R32" s="301"/>
      <c r="S32" s="301"/>
      <c r="T32" s="301"/>
      <c r="U32" s="303"/>
      <c r="V32" s="296"/>
    </row>
    <row r="33" spans="1:22" s="2" customFormat="1" ht="45">
      <c r="A33" s="86">
        <v>3</v>
      </c>
      <c r="B33" s="87" t="s">
        <v>1013</v>
      </c>
      <c r="C33" s="67">
        <v>1961</v>
      </c>
      <c r="D33" s="67">
        <v>2009</v>
      </c>
      <c r="E33" s="37" t="s">
        <v>374</v>
      </c>
      <c r="F33" s="36">
        <v>2</v>
      </c>
      <c r="G33" s="36">
        <v>2</v>
      </c>
      <c r="H33" s="37">
        <v>712.1</v>
      </c>
      <c r="I33" s="37">
        <v>635.7</v>
      </c>
      <c r="J33" s="37">
        <v>461.68</v>
      </c>
      <c r="K33" s="36">
        <v>30</v>
      </c>
      <c r="L33" s="37" t="s">
        <v>496</v>
      </c>
      <c r="M33" s="37">
        <v>1932719.93</v>
      </c>
      <c r="N33" s="37"/>
      <c r="O33" s="37"/>
      <c r="P33" s="37"/>
      <c r="Q33" s="37">
        <v>1932719.93</v>
      </c>
      <c r="R33" s="37">
        <f aca="true" t="shared" si="1" ref="R33:R42">M33/I33</f>
        <v>3040.30191914425</v>
      </c>
      <c r="S33" s="29">
        <v>14736.15</v>
      </c>
      <c r="T33" s="29" t="s">
        <v>1359</v>
      </c>
      <c r="U33" s="83">
        <v>6.3</v>
      </c>
      <c r="V33" s="296">
        <v>2018</v>
      </c>
    </row>
    <row r="34" spans="1:22" s="2" customFormat="1" ht="45">
      <c r="A34" s="86">
        <v>4</v>
      </c>
      <c r="B34" s="88" t="s">
        <v>1398</v>
      </c>
      <c r="C34" s="67">
        <v>1963</v>
      </c>
      <c r="D34" s="67">
        <v>2015</v>
      </c>
      <c r="E34" s="37" t="s">
        <v>374</v>
      </c>
      <c r="F34" s="36">
        <v>2</v>
      </c>
      <c r="G34" s="36">
        <v>2</v>
      </c>
      <c r="H34" s="37">
        <v>411.6</v>
      </c>
      <c r="I34" s="37">
        <v>329</v>
      </c>
      <c r="J34" s="37">
        <v>281.14</v>
      </c>
      <c r="K34" s="36">
        <v>13</v>
      </c>
      <c r="L34" s="37" t="s">
        <v>489</v>
      </c>
      <c r="M34" s="37">
        <v>827587.02</v>
      </c>
      <c r="N34" s="37"/>
      <c r="O34" s="37"/>
      <c r="P34" s="37"/>
      <c r="Q34" s="37">
        <v>827587.02</v>
      </c>
      <c r="R34" s="37">
        <f t="shared" si="1"/>
        <v>2515.462066869301</v>
      </c>
      <c r="S34" s="29">
        <v>14736.15</v>
      </c>
      <c r="T34" s="29" t="s">
        <v>1359</v>
      </c>
      <c r="U34" s="83">
        <v>6.3</v>
      </c>
      <c r="V34" s="296">
        <v>2018</v>
      </c>
    </row>
    <row r="35" spans="1:22" s="2" customFormat="1" ht="45">
      <c r="A35" s="86">
        <v>5</v>
      </c>
      <c r="B35" s="87" t="s">
        <v>1399</v>
      </c>
      <c r="C35" s="67">
        <v>1959</v>
      </c>
      <c r="D35" s="67">
        <v>2015</v>
      </c>
      <c r="E35" s="37" t="s">
        <v>374</v>
      </c>
      <c r="F35" s="36">
        <v>2</v>
      </c>
      <c r="G35" s="36">
        <v>4</v>
      </c>
      <c r="H35" s="37">
        <v>1273.73</v>
      </c>
      <c r="I35" s="37">
        <v>1144.83</v>
      </c>
      <c r="J35" s="37">
        <v>1089.88</v>
      </c>
      <c r="K35" s="36">
        <v>57</v>
      </c>
      <c r="L35" s="37" t="s">
        <v>489</v>
      </c>
      <c r="M35" s="37">
        <v>2573935.14</v>
      </c>
      <c r="N35" s="37"/>
      <c r="O35" s="37"/>
      <c r="P35" s="37"/>
      <c r="Q35" s="37">
        <v>2573935.14</v>
      </c>
      <c r="R35" s="37">
        <f t="shared" si="1"/>
        <v>2248.312098739551</v>
      </c>
      <c r="S35" s="29">
        <v>14736.15</v>
      </c>
      <c r="T35" s="29" t="s">
        <v>1359</v>
      </c>
      <c r="U35" s="83">
        <v>6.3</v>
      </c>
      <c r="V35" s="296">
        <v>2018</v>
      </c>
    </row>
    <row r="36" spans="1:22" s="2" customFormat="1" ht="150">
      <c r="A36" s="86">
        <v>6</v>
      </c>
      <c r="B36" s="87" t="s">
        <v>824</v>
      </c>
      <c r="C36" s="67">
        <v>1966</v>
      </c>
      <c r="D36" s="67">
        <v>2015</v>
      </c>
      <c r="E36" s="37" t="s">
        <v>374</v>
      </c>
      <c r="F36" s="36">
        <v>2</v>
      </c>
      <c r="G36" s="36">
        <v>2</v>
      </c>
      <c r="H36" s="37">
        <v>539.32</v>
      </c>
      <c r="I36" s="37">
        <v>493.76</v>
      </c>
      <c r="J36" s="37">
        <v>461.97</v>
      </c>
      <c r="K36" s="36">
        <v>20</v>
      </c>
      <c r="L36" s="37" t="s">
        <v>847</v>
      </c>
      <c r="M36" s="37">
        <v>597455.6900000001</v>
      </c>
      <c r="N36" s="37"/>
      <c r="O36" s="37"/>
      <c r="P36" s="37"/>
      <c r="Q36" s="37">
        <v>597455.6900000001</v>
      </c>
      <c r="R36" s="37">
        <f t="shared" si="1"/>
        <v>1210.0123339274144</v>
      </c>
      <c r="S36" s="29">
        <v>14736.15</v>
      </c>
      <c r="T36" s="29" t="s">
        <v>1359</v>
      </c>
      <c r="U36" s="83">
        <v>6.3</v>
      </c>
      <c r="V36" s="296">
        <v>2018</v>
      </c>
    </row>
    <row r="37" spans="1:22" s="12" customFormat="1" ht="45">
      <c r="A37" s="86">
        <v>7</v>
      </c>
      <c r="B37" s="34" t="s">
        <v>181</v>
      </c>
      <c r="C37" s="24">
        <v>1957</v>
      </c>
      <c r="D37" s="24"/>
      <c r="E37" s="37" t="s">
        <v>374</v>
      </c>
      <c r="F37" s="24">
        <v>2</v>
      </c>
      <c r="G37" s="24">
        <v>2</v>
      </c>
      <c r="H37" s="29">
        <v>539.32</v>
      </c>
      <c r="I37" s="29">
        <v>493.76</v>
      </c>
      <c r="J37" s="29">
        <v>461.97</v>
      </c>
      <c r="K37" s="36">
        <v>13</v>
      </c>
      <c r="L37" s="37" t="s">
        <v>182</v>
      </c>
      <c r="M37" s="37">
        <v>1128486.46</v>
      </c>
      <c r="N37" s="89"/>
      <c r="O37" s="89"/>
      <c r="P37" s="89"/>
      <c r="Q37" s="37">
        <v>1128486.46</v>
      </c>
      <c r="R37" s="37">
        <f t="shared" si="1"/>
        <v>2285.495908943616</v>
      </c>
      <c r="S37" s="29">
        <v>14736.15</v>
      </c>
      <c r="T37" s="29" t="s">
        <v>1359</v>
      </c>
      <c r="U37" s="83">
        <v>6.3</v>
      </c>
      <c r="V37" s="296">
        <v>2018</v>
      </c>
    </row>
    <row r="38" spans="1:22" s="2" customFormat="1" ht="45">
      <c r="A38" s="86">
        <v>8</v>
      </c>
      <c r="B38" s="34" t="s">
        <v>183</v>
      </c>
      <c r="C38" s="24">
        <v>1992</v>
      </c>
      <c r="D38" s="24"/>
      <c r="E38" s="37" t="s">
        <v>374</v>
      </c>
      <c r="F38" s="24">
        <v>5</v>
      </c>
      <c r="G38" s="24">
        <v>4</v>
      </c>
      <c r="H38" s="29">
        <v>4398.08</v>
      </c>
      <c r="I38" s="29">
        <v>3892.32</v>
      </c>
      <c r="J38" s="29">
        <v>3639.32</v>
      </c>
      <c r="K38" s="36">
        <v>186</v>
      </c>
      <c r="L38" s="24" t="s">
        <v>489</v>
      </c>
      <c r="M38" s="37">
        <v>1811094.3</v>
      </c>
      <c r="N38" s="89"/>
      <c r="O38" s="89"/>
      <c r="P38" s="89"/>
      <c r="Q38" s="37">
        <v>1811094.3</v>
      </c>
      <c r="R38" s="37">
        <f t="shared" si="1"/>
        <v>465.29943581206066</v>
      </c>
      <c r="S38" s="29">
        <v>14736.15</v>
      </c>
      <c r="T38" s="29" t="s">
        <v>1359</v>
      </c>
      <c r="U38" s="83">
        <v>6.3</v>
      </c>
      <c r="V38" s="296">
        <v>2018</v>
      </c>
    </row>
    <row r="39" spans="1:22" s="2" customFormat="1" ht="45">
      <c r="A39" s="86">
        <v>9</v>
      </c>
      <c r="B39" s="34" t="s">
        <v>184</v>
      </c>
      <c r="C39" s="24">
        <v>1973</v>
      </c>
      <c r="D39" s="24"/>
      <c r="E39" s="37" t="s">
        <v>374</v>
      </c>
      <c r="F39" s="24">
        <v>2</v>
      </c>
      <c r="G39" s="24">
        <v>1</v>
      </c>
      <c r="H39" s="29">
        <v>3590.45</v>
      </c>
      <c r="I39" s="29">
        <v>3305.8</v>
      </c>
      <c r="J39" s="29">
        <v>3078.9</v>
      </c>
      <c r="K39" s="36">
        <v>28</v>
      </c>
      <c r="L39" s="24" t="s">
        <v>485</v>
      </c>
      <c r="M39" s="37">
        <v>1036856</v>
      </c>
      <c r="N39" s="89"/>
      <c r="O39" s="89"/>
      <c r="P39" s="89"/>
      <c r="Q39" s="37">
        <v>1036856</v>
      </c>
      <c r="R39" s="37">
        <f t="shared" si="1"/>
        <v>313.6475285861213</v>
      </c>
      <c r="S39" s="29">
        <v>14736.15</v>
      </c>
      <c r="T39" s="29" t="s">
        <v>1359</v>
      </c>
      <c r="U39" s="83">
        <v>6.3</v>
      </c>
      <c r="V39" s="296">
        <v>2018</v>
      </c>
    </row>
    <row r="40" spans="1:22" s="2" customFormat="1" ht="45">
      <c r="A40" s="86">
        <v>10</v>
      </c>
      <c r="B40" s="34" t="s">
        <v>185</v>
      </c>
      <c r="C40" s="24">
        <v>1977</v>
      </c>
      <c r="D40" s="24"/>
      <c r="E40" s="37" t="s">
        <v>374</v>
      </c>
      <c r="F40" s="24">
        <v>5</v>
      </c>
      <c r="G40" s="24">
        <v>4</v>
      </c>
      <c r="H40" s="29">
        <v>2703</v>
      </c>
      <c r="I40" s="29">
        <v>344.65</v>
      </c>
      <c r="J40" s="29">
        <v>259.69</v>
      </c>
      <c r="K40" s="36">
        <v>118</v>
      </c>
      <c r="L40" s="24" t="s">
        <v>833</v>
      </c>
      <c r="M40" s="37">
        <v>2453528.83</v>
      </c>
      <c r="N40" s="89"/>
      <c r="O40" s="89"/>
      <c r="P40" s="89"/>
      <c r="Q40" s="37">
        <v>2453528.83</v>
      </c>
      <c r="R40" s="37">
        <f t="shared" si="1"/>
        <v>7118.8998404178155</v>
      </c>
      <c r="S40" s="29">
        <v>14736.15</v>
      </c>
      <c r="T40" s="29" t="s">
        <v>1359</v>
      </c>
      <c r="U40" s="83">
        <v>6.3</v>
      </c>
      <c r="V40" s="296">
        <v>2018</v>
      </c>
    </row>
    <row r="41" spans="1:22" s="4" customFormat="1" ht="60">
      <c r="A41" s="86">
        <v>11</v>
      </c>
      <c r="B41" s="34" t="s">
        <v>186</v>
      </c>
      <c r="C41" s="24">
        <v>1979</v>
      </c>
      <c r="D41" s="24"/>
      <c r="E41" s="37" t="s">
        <v>374</v>
      </c>
      <c r="F41" s="24">
        <v>2</v>
      </c>
      <c r="G41" s="24">
        <v>3</v>
      </c>
      <c r="H41" s="29">
        <v>2976.43</v>
      </c>
      <c r="I41" s="29">
        <v>2703.07</v>
      </c>
      <c r="J41" s="29">
        <v>2555.7</v>
      </c>
      <c r="K41" s="36">
        <v>43</v>
      </c>
      <c r="L41" s="24" t="s">
        <v>187</v>
      </c>
      <c r="M41" s="37">
        <v>1778610.63</v>
      </c>
      <c r="N41" s="89"/>
      <c r="O41" s="89"/>
      <c r="P41" s="89"/>
      <c r="Q41" s="37">
        <v>1778610.63</v>
      </c>
      <c r="R41" s="37">
        <f t="shared" si="1"/>
        <v>657.9965113741042</v>
      </c>
      <c r="S41" s="29">
        <v>14736.15</v>
      </c>
      <c r="T41" s="29" t="s">
        <v>1359</v>
      </c>
      <c r="U41" s="83">
        <v>6.3</v>
      </c>
      <c r="V41" s="296">
        <v>2018</v>
      </c>
    </row>
    <row r="42" spans="1:22" s="2" customFormat="1" ht="15">
      <c r="A42" s="90"/>
      <c r="B42" s="84" t="s">
        <v>133</v>
      </c>
      <c r="C42" s="37"/>
      <c r="D42" s="37"/>
      <c r="E42" s="37"/>
      <c r="F42" s="37"/>
      <c r="G42" s="37"/>
      <c r="H42" s="81">
        <f>SUM(H33:H41)</f>
        <v>17144.03</v>
      </c>
      <c r="I42" s="81">
        <f>SUM(I33:I41)</f>
        <v>13342.890000000001</v>
      </c>
      <c r="J42" s="81">
        <f>SUM(J33:J41)</f>
        <v>12290.25</v>
      </c>
      <c r="K42" s="98">
        <f>SUM(K33:K41)</f>
        <v>508</v>
      </c>
      <c r="L42" s="81"/>
      <c r="M42" s="81">
        <f>SUM(M33:M41)</f>
        <v>14140274</v>
      </c>
      <c r="N42" s="81"/>
      <c r="O42" s="81"/>
      <c r="P42" s="81"/>
      <c r="Q42" s="81">
        <f>SUM(Q33:Q41)</f>
        <v>14140274</v>
      </c>
      <c r="R42" s="81">
        <f t="shared" si="1"/>
        <v>1059.7609663273847</v>
      </c>
      <c r="S42" s="29"/>
      <c r="T42" s="29"/>
      <c r="U42" s="83"/>
      <c r="V42" s="296"/>
    </row>
    <row r="43" spans="1:22" s="2" customFormat="1" ht="15">
      <c r="A43" s="300" t="s">
        <v>1367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2"/>
      <c r="R43" s="301"/>
      <c r="S43" s="301"/>
      <c r="T43" s="301"/>
      <c r="U43" s="303"/>
      <c r="V43" s="296"/>
    </row>
    <row r="44" spans="1:22" s="2" customFormat="1" ht="45">
      <c r="A44" s="86">
        <v>12</v>
      </c>
      <c r="B44" s="82" t="s">
        <v>769</v>
      </c>
      <c r="C44" s="91">
        <v>1982</v>
      </c>
      <c r="D44" s="92"/>
      <c r="E44" s="28" t="s">
        <v>374</v>
      </c>
      <c r="F44" s="27">
        <v>2</v>
      </c>
      <c r="G44" s="27">
        <v>3</v>
      </c>
      <c r="H44" s="28">
        <v>845.51</v>
      </c>
      <c r="I44" s="28">
        <v>845.51</v>
      </c>
      <c r="J44" s="28">
        <v>845.51</v>
      </c>
      <c r="K44" s="186">
        <v>37</v>
      </c>
      <c r="L44" s="93" t="s">
        <v>1606</v>
      </c>
      <c r="M44" s="28">
        <v>2184832.16</v>
      </c>
      <c r="N44" s="28"/>
      <c r="O44" s="28"/>
      <c r="P44" s="28"/>
      <c r="Q44" s="28">
        <v>2184832.16</v>
      </c>
      <c r="R44" s="28">
        <f>M44/I44</f>
        <v>2584.0405908859743</v>
      </c>
      <c r="S44" s="30">
        <v>14736.15</v>
      </c>
      <c r="T44" s="27" t="s">
        <v>1359</v>
      </c>
      <c r="U44" s="94">
        <v>6.3</v>
      </c>
      <c r="V44" s="296">
        <v>2018</v>
      </c>
    </row>
    <row r="45" spans="1:22" s="2" customFormat="1" ht="45">
      <c r="A45" s="95">
        <v>13</v>
      </c>
      <c r="B45" s="43" t="s">
        <v>1217</v>
      </c>
      <c r="C45" s="8">
        <v>1998</v>
      </c>
      <c r="D45" s="45"/>
      <c r="E45" s="37" t="s">
        <v>374</v>
      </c>
      <c r="F45" s="24">
        <v>3</v>
      </c>
      <c r="G45" s="24">
        <v>3</v>
      </c>
      <c r="H45" s="37">
        <v>1719.18</v>
      </c>
      <c r="I45" s="37">
        <v>1719.18</v>
      </c>
      <c r="J45" s="37">
        <v>1719.18</v>
      </c>
      <c r="K45" s="36">
        <v>88</v>
      </c>
      <c r="L45" s="62" t="s">
        <v>45</v>
      </c>
      <c r="M45" s="37">
        <v>2927968.66</v>
      </c>
      <c r="N45" s="37"/>
      <c r="O45" s="37"/>
      <c r="P45" s="37"/>
      <c r="Q45" s="37">
        <v>2927968.66</v>
      </c>
      <c r="R45" s="37">
        <f>M45/I45</f>
        <v>1703.1193126955875</v>
      </c>
      <c r="S45" s="29">
        <v>14736.15</v>
      </c>
      <c r="T45" s="24" t="s">
        <v>1359</v>
      </c>
      <c r="U45" s="83">
        <v>6.3</v>
      </c>
      <c r="V45" s="296">
        <v>2018</v>
      </c>
    </row>
    <row r="46" spans="1:22" s="2" customFormat="1" ht="15">
      <c r="A46" s="78"/>
      <c r="B46" s="84" t="s">
        <v>76</v>
      </c>
      <c r="C46" s="79"/>
      <c r="D46" s="79"/>
      <c r="E46" s="79"/>
      <c r="F46" s="79"/>
      <c r="G46" s="79"/>
      <c r="H46" s="81">
        <f>SUM(H44:H45)</f>
        <v>2564.69</v>
      </c>
      <c r="I46" s="81">
        <f>SUM(I44:I45)</f>
        <v>2564.69</v>
      </c>
      <c r="J46" s="81">
        <f>SUM(J44:J45)</f>
        <v>2564.69</v>
      </c>
      <c r="K46" s="98">
        <f>SUM(K44:K45)</f>
        <v>125</v>
      </c>
      <c r="L46" s="81"/>
      <c r="M46" s="81">
        <f>SUM(M44:M45)</f>
        <v>5112800.82</v>
      </c>
      <c r="N46" s="81"/>
      <c r="O46" s="81"/>
      <c r="P46" s="81"/>
      <c r="Q46" s="81">
        <f>SUM(Q44:Q45)</f>
        <v>5112800.82</v>
      </c>
      <c r="R46" s="81">
        <f>M46/I46</f>
        <v>1993.5356007938583</v>
      </c>
      <c r="S46" s="96"/>
      <c r="T46" s="96"/>
      <c r="U46" s="72"/>
      <c r="V46" s="296"/>
    </row>
    <row r="47" spans="1:22" s="2" customFormat="1" ht="15">
      <c r="A47" s="300" t="s">
        <v>376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2"/>
      <c r="R47" s="301"/>
      <c r="S47" s="301"/>
      <c r="T47" s="301"/>
      <c r="U47" s="303"/>
      <c r="V47" s="296"/>
    </row>
    <row r="48" spans="1:22" s="2" customFormat="1" ht="45">
      <c r="A48" s="70">
        <v>14</v>
      </c>
      <c r="B48" s="82" t="s">
        <v>1644</v>
      </c>
      <c r="C48" s="24">
        <v>1972</v>
      </c>
      <c r="D48" s="24"/>
      <c r="E48" s="24" t="s">
        <v>374</v>
      </c>
      <c r="F48" s="24">
        <v>2</v>
      </c>
      <c r="G48" s="24">
        <v>1</v>
      </c>
      <c r="H48" s="37">
        <v>382.7</v>
      </c>
      <c r="I48" s="37">
        <v>314.2</v>
      </c>
      <c r="J48" s="37">
        <v>314.2</v>
      </c>
      <c r="K48" s="36">
        <v>21</v>
      </c>
      <c r="L48" s="62" t="s">
        <v>149</v>
      </c>
      <c r="M48" s="37">
        <v>798501.35</v>
      </c>
      <c r="N48" s="37"/>
      <c r="O48" s="37"/>
      <c r="P48" s="37"/>
      <c r="Q48" s="37">
        <v>798501.35</v>
      </c>
      <c r="R48" s="37">
        <f>M48/I48</f>
        <v>2541.379217059198</v>
      </c>
      <c r="S48" s="29">
        <v>14736.15</v>
      </c>
      <c r="T48" s="24" t="s">
        <v>1359</v>
      </c>
      <c r="U48" s="83">
        <v>6.3</v>
      </c>
      <c r="V48" s="296">
        <v>2018</v>
      </c>
    </row>
    <row r="49" spans="1:22" s="2" customFormat="1" ht="45">
      <c r="A49" s="70">
        <v>15</v>
      </c>
      <c r="B49" s="82" t="s">
        <v>188</v>
      </c>
      <c r="C49" s="62">
        <v>1982</v>
      </c>
      <c r="D49" s="62"/>
      <c r="E49" s="62" t="s">
        <v>374</v>
      </c>
      <c r="F49" s="62">
        <v>2</v>
      </c>
      <c r="G49" s="62">
        <v>4</v>
      </c>
      <c r="H49" s="62">
        <v>403.81</v>
      </c>
      <c r="I49" s="65">
        <v>274.5</v>
      </c>
      <c r="J49" s="65">
        <v>274.5</v>
      </c>
      <c r="K49" s="267">
        <v>11</v>
      </c>
      <c r="L49" s="62" t="s">
        <v>489</v>
      </c>
      <c r="M49" s="37">
        <v>530735.52</v>
      </c>
      <c r="N49" s="97"/>
      <c r="O49" s="97"/>
      <c r="P49" s="97"/>
      <c r="Q49" s="37">
        <v>530735.52</v>
      </c>
      <c r="R49" s="37">
        <f>M49/I49</f>
        <v>1933.4627322404372</v>
      </c>
      <c r="S49" s="29">
        <v>14736.15</v>
      </c>
      <c r="T49" s="24" t="s">
        <v>1359</v>
      </c>
      <c r="U49" s="83">
        <v>6.3</v>
      </c>
      <c r="V49" s="296">
        <v>2018</v>
      </c>
    </row>
    <row r="50" spans="1:22" s="2" customFormat="1" ht="15">
      <c r="A50" s="70"/>
      <c r="B50" s="84" t="s">
        <v>76</v>
      </c>
      <c r="C50" s="24"/>
      <c r="D50" s="24"/>
      <c r="E50" s="24"/>
      <c r="F50" s="24"/>
      <c r="G50" s="24"/>
      <c r="H50" s="81">
        <f>SUM(H48:H49)</f>
        <v>786.51</v>
      </c>
      <c r="I50" s="81">
        <f>SUM(I48:I49)</f>
        <v>588.7</v>
      </c>
      <c r="J50" s="81">
        <f>SUM(J48:J49)</f>
        <v>588.7</v>
      </c>
      <c r="K50" s="98">
        <f>SUM(K48:K49)</f>
        <v>32</v>
      </c>
      <c r="L50" s="81"/>
      <c r="M50" s="81">
        <f>SUM(M48:M49)</f>
        <v>1329236.87</v>
      </c>
      <c r="N50" s="81"/>
      <c r="O50" s="81"/>
      <c r="P50" s="81"/>
      <c r="Q50" s="81">
        <f>SUM(Q48:Q49)</f>
        <v>1329236.87</v>
      </c>
      <c r="R50" s="81">
        <f>M50/I50</f>
        <v>2257.91892305079</v>
      </c>
      <c r="S50" s="29"/>
      <c r="T50" s="76"/>
      <c r="U50" s="75"/>
      <c r="V50" s="296"/>
    </row>
    <row r="51" spans="1:22" s="2" customFormat="1" ht="15">
      <c r="A51" s="300" t="s">
        <v>377</v>
      </c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2"/>
      <c r="R51" s="301"/>
      <c r="S51" s="301"/>
      <c r="T51" s="301"/>
      <c r="U51" s="303"/>
      <c r="V51" s="296"/>
    </row>
    <row r="52" spans="1:22" s="2" customFormat="1" ht="45">
      <c r="A52" s="70">
        <v>16</v>
      </c>
      <c r="B52" s="34" t="s">
        <v>649</v>
      </c>
      <c r="C52" s="24">
        <v>1965</v>
      </c>
      <c r="D52" s="24"/>
      <c r="E52" s="24" t="s">
        <v>374</v>
      </c>
      <c r="F52" s="24">
        <v>2</v>
      </c>
      <c r="G52" s="24">
        <v>3</v>
      </c>
      <c r="H52" s="37">
        <v>473.8</v>
      </c>
      <c r="I52" s="37">
        <v>473.8</v>
      </c>
      <c r="J52" s="37">
        <v>473.8</v>
      </c>
      <c r="K52" s="36">
        <v>22</v>
      </c>
      <c r="L52" s="24" t="s">
        <v>833</v>
      </c>
      <c r="M52" s="37">
        <v>1437083.99</v>
      </c>
      <c r="N52" s="37"/>
      <c r="O52" s="37"/>
      <c r="P52" s="37"/>
      <c r="Q52" s="37">
        <v>1437083.99</v>
      </c>
      <c r="R52" s="29">
        <f aca="true" t="shared" si="2" ref="R52:R59">M52/I52</f>
        <v>3033.102553820177</v>
      </c>
      <c r="S52" s="29">
        <v>14736.15</v>
      </c>
      <c r="T52" s="24" t="s">
        <v>1359</v>
      </c>
      <c r="U52" s="83">
        <v>6.3</v>
      </c>
      <c r="V52" s="296">
        <v>2018</v>
      </c>
    </row>
    <row r="53" spans="1:22" s="2" customFormat="1" ht="45">
      <c r="A53" s="70">
        <v>17</v>
      </c>
      <c r="B53" s="34" t="s">
        <v>1400</v>
      </c>
      <c r="C53" s="24">
        <v>1966</v>
      </c>
      <c r="D53" s="24">
        <v>2009</v>
      </c>
      <c r="E53" s="24" t="s">
        <v>374</v>
      </c>
      <c r="F53" s="24">
        <v>2</v>
      </c>
      <c r="G53" s="24">
        <v>2</v>
      </c>
      <c r="H53" s="37">
        <v>369.5</v>
      </c>
      <c r="I53" s="37">
        <v>369.5</v>
      </c>
      <c r="J53" s="37">
        <v>277</v>
      </c>
      <c r="K53" s="36">
        <v>15</v>
      </c>
      <c r="L53" s="24" t="s">
        <v>384</v>
      </c>
      <c r="M53" s="37">
        <v>135215.71</v>
      </c>
      <c r="N53" s="37"/>
      <c r="O53" s="37"/>
      <c r="P53" s="37"/>
      <c r="Q53" s="37">
        <v>135215.71</v>
      </c>
      <c r="R53" s="29">
        <f t="shared" si="2"/>
        <v>365.94238159675234</v>
      </c>
      <c r="S53" s="29">
        <v>14736.15</v>
      </c>
      <c r="T53" s="24" t="s">
        <v>1359</v>
      </c>
      <c r="U53" s="83">
        <v>6.3</v>
      </c>
      <c r="V53" s="296">
        <v>2018</v>
      </c>
    </row>
    <row r="54" spans="1:22" s="2" customFormat="1" ht="45">
      <c r="A54" s="70">
        <v>18</v>
      </c>
      <c r="B54" s="34" t="s">
        <v>1401</v>
      </c>
      <c r="C54" s="24">
        <v>1963</v>
      </c>
      <c r="D54" s="24">
        <v>2015</v>
      </c>
      <c r="E54" s="24" t="s">
        <v>374</v>
      </c>
      <c r="F54" s="24">
        <v>2</v>
      </c>
      <c r="G54" s="24">
        <v>2</v>
      </c>
      <c r="H54" s="37">
        <v>375</v>
      </c>
      <c r="I54" s="37">
        <v>375</v>
      </c>
      <c r="J54" s="37">
        <v>227.25</v>
      </c>
      <c r="K54" s="36">
        <v>8</v>
      </c>
      <c r="L54" s="24" t="s">
        <v>489</v>
      </c>
      <c r="M54" s="37">
        <v>832451.06</v>
      </c>
      <c r="N54" s="37"/>
      <c r="O54" s="37"/>
      <c r="P54" s="37"/>
      <c r="Q54" s="37">
        <v>832451.06</v>
      </c>
      <c r="R54" s="29">
        <f t="shared" si="2"/>
        <v>2219.8694933333336</v>
      </c>
      <c r="S54" s="29">
        <v>14736.15</v>
      </c>
      <c r="T54" s="24" t="s">
        <v>1359</v>
      </c>
      <c r="U54" s="83">
        <v>6.3</v>
      </c>
      <c r="V54" s="296">
        <v>2018</v>
      </c>
    </row>
    <row r="55" spans="1:22" s="2" customFormat="1" ht="45">
      <c r="A55" s="70">
        <v>19</v>
      </c>
      <c r="B55" s="34" t="s">
        <v>1402</v>
      </c>
      <c r="C55" s="24">
        <v>1974</v>
      </c>
      <c r="D55" s="24"/>
      <c r="E55" s="24" t="s">
        <v>374</v>
      </c>
      <c r="F55" s="24">
        <v>2</v>
      </c>
      <c r="G55" s="24">
        <v>1</v>
      </c>
      <c r="H55" s="37">
        <v>369.4</v>
      </c>
      <c r="I55" s="37">
        <v>369.4</v>
      </c>
      <c r="J55" s="37">
        <v>325.9</v>
      </c>
      <c r="K55" s="36">
        <v>13</v>
      </c>
      <c r="L55" s="24" t="s">
        <v>384</v>
      </c>
      <c r="M55" s="37">
        <v>134631.05</v>
      </c>
      <c r="N55" s="37"/>
      <c r="O55" s="37"/>
      <c r="P55" s="37"/>
      <c r="Q55" s="37">
        <v>134631.05</v>
      </c>
      <c r="R55" s="29">
        <f t="shared" si="2"/>
        <v>364.45871683811583</v>
      </c>
      <c r="S55" s="29">
        <v>14736.15</v>
      </c>
      <c r="T55" s="24" t="s">
        <v>1359</v>
      </c>
      <c r="U55" s="83">
        <v>6.3</v>
      </c>
      <c r="V55" s="296">
        <v>2018</v>
      </c>
    </row>
    <row r="56" spans="1:22" s="2" customFormat="1" ht="45">
      <c r="A56" s="70">
        <v>20</v>
      </c>
      <c r="B56" s="34" t="s">
        <v>189</v>
      </c>
      <c r="C56" s="62">
        <v>1975</v>
      </c>
      <c r="D56" s="29"/>
      <c r="E56" s="24" t="s">
        <v>494</v>
      </c>
      <c r="F56" s="62">
        <v>5</v>
      </c>
      <c r="G56" s="62">
        <v>4</v>
      </c>
      <c r="H56" s="63">
        <v>3058.01</v>
      </c>
      <c r="I56" s="63">
        <v>3058.01</v>
      </c>
      <c r="J56" s="63">
        <v>2869.41</v>
      </c>
      <c r="K56" s="267">
        <v>103</v>
      </c>
      <c r="L56" s="24" t="s">
        <v>497</v>
      </c>
      <c r="M56" s="37">
        <v>1267646.95</v>
      </c>
      <c r="N56" s="37"/>
      <c r="O56" s="37"/>
      <c r="P56" s="37"/>
      <c r="Q56" s="37">
        <v>1267646.95</v>
      </c>
      <c r="R56" s="29">
        <f t="shared" si="2"/>
        <v>414.5332912580403</v>
      </c>
      <c r="S56" s="29">
        <v>14736.15</v>
      </c>
      <c r="T56" s="24" t="s">
        <v>1359</v>
      </c>
      <c r="U56" s="83">
        <v>6.3</v>
      </c>
      <c r="V56" s="296">
        <v>2018</v>
      </c>
    </row>
    <row r="57" spans="1:22" s="2" customFormat="1" ht="45">
      <c r="A57" s="70">
        <v>21</v>
      </c>
      <c r="B57" s="99" t="s">
        <v>190</v>
      </c>
      <c r="C57" s="24">
        <v>1990</v>
      </c>
      <c r="D57" s="100"/>
      <c r="E57" s="24" t="s">
        <v>494</v>
      </c>
      <c r="F57" s="24">
        <v>5</v>
      </c>
      <c r="G57" s="24">
        <v>5</v>
      </c>
      <c r="H57" s="37">
        <v>5484.36</v>
      </c>
      <c r="I57" s="37">
        <v>5484.36</v>
      </c>
      <c r="J57" s="33" t="s">
        <v>191</v>
      </c>
      <c r="K57" s="36">
        <v>203</v>
      </c>
      <c r="L57" s="24" t="s">
        <v>496</v>
      </c>
      <c r="M57" s="37">
        <v>4188479.13</v>
      </c>
      <c r="N57" s="37"/>
      <c r="O57" s="37"/>
      <c r="P57" s="37"/>
      <c r="Q57" s="37">
        <v>4188479.13</v>
      </c>
      <c r="R57" s="29">
        <f t="shared" si="2"/>
        <v>763.7133831477146</v>
      </c>
      <c r="S57" s="29">
        <v>14736.15</v>
      </c>
      <c r="T57" s="24" t="s">
        <v>1359</v>
      </c>
      <c r="U57" s="83">
        <v>6.3</v>
      </c>
      <c r="V57" s="296">
        <v>2018</v>
      </c>
    </row>
    <row r="58" spans="1:22" s="2" customFormat="1" ht="45">
      <c r="A58" s="70">
        <v>22</v>
      </c>
      <c r="B58" s="34" t="s">
        <v>1403</v>
      </c>
      <c r="C58" s="24">
        <v>1960</v>
      </c>
      <c r="D58" s="24">
        <v>2015</v>
      </c>
      <c r="E58" s="24" t="s">
        <v>374</v>
      </c>
      <c r="F58" s="24">
        <v>3</v>
      </c>
      <c r="G58" s="24">
        <v>2</v>
      </c>
      <c r="H58" s="37">
        <v>738.05</v>
      </c>
      <c r="I58" s="37">
        <v>738.05</v>
      </c>
      <c r="J58" s="37">
        <v>662.75</v>
      </c>
      <c r="K58" s="36">
        <v>20</v>
      </c>
      <c r="L58" s="24" t="s">
        <v>489</v>
      </c>
      <c r="M58" s="37">
        <v>1552421.04</v>
      </c>
      <c r="N58" s="37"/>
      <c r="O58" s="37"/>
      <c r="P58" s="37"/>
      <c r="Q58" s="37">
        <v>1552421.04</v>
      </c>
      <c r="R58" s="29">
        <f t="shared" si="2"/>
        <v>2103.4090373280947</v>
      </c>
      <c r="S58" s="29">
        <v>14736.15</v>
      </c>
      <c r="T58" s="24" t="s">
        <v>1359</v>
      </c>
      <c r="U58" s="83">
        <v>6.3</v>
      </c>
      <c r="V58" s="296">
        <v>2018</v>
      </c>
    </row>
    <row r="59" spans="1:22" s="2" customFormat="1" ht="15">
      <c r="A59" s="70"/>
      <c r="B59" s="84" t="s">
        <v>784</v>
      </c>
      <c r="C59" s="24"/>
      <c r="D59" s="24"/>
      <c r="E59" s="24"/>
      <c r="F59" s="24"/>
      <c r="G59" s="24"/>
      <c r="H59" s="81">
        <f>SUM(H52:H58)</f>
        <v>10868.119999999999</v>
      </c>
      <c r="I59" s="81">
        <f aca="true" t="shared" si="3" ref="I59:Q59">SUM(I52:I58)</f>
        <v>10868.119999999999</v>
      </c>
      <c r="J59" s="81">
        <f t="shared" si="3"/>
        <v>4836.11</v>
      </c>
      <c r="K59" s="98">
        <f t="shared" si="3"/>
        <v>384</v>
      </c>
      <c r="L59" s="81"/>
      <c r="M59" s="81">
        <f t="shared" si="3"/>
        <v>9547928.93</v>
      </c>
      <c r="N59" s="81"/>
      <c r="O59" s="81"/>
      <c r="P59" s="81"/>
      <c r="Q59" s="81">
        <f t="shared" si="3"/>
        <v>9547928.93</v>
      </c>
      <c r="R59" s="96">
        <f t="shared" si="2"/>
        <v>878.5262704129142</v>
      </c>
      <c r="S59" s="29"/>
      <c r="T59" s="76"/>
      <c r="U59" s="85"/>
      <c r="V59" s="296"/>
    </row>
    <row r="60" spans="1:22" s="2" customFormat="1" ht="15">
      <c r="A60" s="300" t="s">
        <v>1671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2"/>
      <c r="R60" s="301"/>
      <c r="S60" s="301"/>
      <c r="T60" s="301"/>
      <c r="U60" s="303"/>
      <c r="V60" s="296"/>
    </row>
    <row r="61" spans="1:22" s="2" customFormat="1" ht="45">
      <c r="A61" s="70">
        <v>23</v>
      </c>
      <c r="B61" s="34" t="s">
        <v>1218</v>
      </c>
      <c r="C61" s="24">
        <v>1978</v>
      </c>
      <c r="D61" s="24"/>
      <c r="E61" s="24" t="s">
        <v>374</v>
      </c>
      <c r="F61" s="24">
        <v>2</v>
      </c>
      <c r="G61" s="24">
        <v>2</v>
      </c>
      <c r="H61" s="37">
        <v>983.58</v>
      </c>
      <c r="I61" s="37">
        <v>923.99</v>
      </c>
      <c r="J61" s="37">
        <v>923.99</v>
      </c>
      <c r="K61" s="36">
        <v>46</v>
      </c>
      <c r="L61" s="62" t="s">
        <v>489</v>
      </c>
      <c r="M61" s="37">
        <v>2143438.24</v>
      </c>
      <c r="N61" s="37"/>
      <c r="O61" s="37"/>
      <c r="P61" s="37"/>
      <c r="Q61" s="37">
        <v>2143438.24</v>
      </c>
      <c r="R61" s="37">
        <f>M61/I61</f>
        <v>2319.7634606435136</v>
      </c>
      <c r="S61" s="29">
        <v>14736.15</v>
      </c>
      <c r="T61" s="24" t="s">
        <v>1359</v>
      </c>
      <c r="U61" s="83">
        <v>6.3</v>
      </c>
      <c r="V61" s="296">
        <v>2018</v>
      </c>
    </row>
    <row r="62" spans="1:22" s="2" customFormat="1" ht="45">
      <c r="A62" s="70">
        <v>24</v>
      </c>
      <c r="B62" s="34" t="s">
        <v>1528</v>
      </c>
      <c r="C62" s="24">
        <v>1973</v>
      </c>
      <c r="D62" s="24"/>
      <c r="E62" s="24" t="s">
        <v>374</v>
      </c>
      <c r="F62" s="24">
        <v>2</v>
      </c>
      <c r="G62" s="24">
        <v>3</v>
      </c>
      <c r="H62" s="24">
        <v>1273.84</v>
      </c>
      <c r="I62" s="24">
        <v>979.65</v>
      </c>
      <c r="J62" s="24">
        <v>890.45</v>
      </c>
      <c r="K62" s="36">
        <v>37</v>
      </c>
      <c r="L62" s="24" t="s">
        <v>489</v>
      </c>
      <c r="M62" s="37">
        <v>1876624.16</v>
      </c>
      <c r="N62" s="101"/>
      <c r="O62" s="101"/>
      <c r="P62" s="69"/>
      <c r="Q62" s="37">
        <v>1876624.16</v>
      </c>
      <c r="R62" s="37">
        <f>M62/I62</f>
        <v>1915.606757515439</v>
      </c>
      <c r="S62" s="29">
        <v>14736.15</v>
      </c>
      <c r="T62" s="24" t="s">
        <v>1359</v>
      </c>
      <c r="U62" s="83">
        <v>6.3</v>
      </c>
      <c r="V62" s="296">
        <v>2018</v>
      </c>
    </row>
    <row r="63" spans="1:22" s="2" customFormat="1" ht="15">
      <c r="A63" s="70"/>
      <c r="B63" s="84" t="s">
        <v>76</v>
      </c>
      <c r="C63" s="24"/>
      <c r="D63" s="24"/>
      <c r="E63" s="24"/>
      <c r="F63" s="24"/>
      <c r="G63" s="24"/>
      <c r="H63" s="81">
        <f>SUM(H61:H62)</f>
        <v>2257.42</v>
      </c>
      <c r="I63" s="81">
        <f aca="true" t="shared" si="4" ref="I63:Q63">SUM(I61:I62)</f>
        <v>1903.6399999999999</v>
      </c>
      <c r="J63" s="81">
        <f t="shared" si="4"/>
        <v>1814.44</v>
      </c>
      <c r="K63" s="98">
        <f t="shared" si="4"/>
        <v>83</v>
      </c>
      <c r="L63" s="81"/>
      <c r="M63" s="81">
        <f t="shared" si="4"/>
        <v>4020062.4000000004</v>
      </c>
      <c r="N63" s="81"/>
      <c r="O63" s="81"/>
      <c r="P63" s="81"/>
      <c r="Q63" s="81">
        <f t="shared" si="4"/>
        <v>4020062.4000000004</v>
      </c>
      <c r="R63" s="81">
        <f>M63/I63</f>
        <v>2111.776596415289</v>
      </c>
      <c r="S63" s="96"/>
      <c r="T63" s="79"/>
      <c r="U63" s="80"/>
      <c r="V63" s="296"/>
    </row>
    <row r="64" spans="1:22" s="2" customFormat="1" ht="15">
      <c r="A64" s="300" t="s">
        <v>1356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2"/>
      <c r="R64" s="301"/>
      <c r="S64" s="301"/>
      <c r="T64" s="301"/>
      <c r="U64" s="303"/>
      <c r="V64" s="296"/>
    </row>
    <row r="65" spans="1:22" s="2" customFormat="1" ht="45">
      <c r="A65" s="70">
        <v>25</v>
      </c>
      <c r="B65" s="34" t="s">
        <v>1645</v>
      </c>
      <c r="C65" s="24">
        <v>1980</v>
      </c>
      <c r="D65" s="24">
        <v>2009</v>
      </c>
      <c r="E65" s="24" t="s">
        <v>374</v>
      </c>
      <c r="F65" s="24">
        <v>2</v>
      </c>
      <c r="G65" s="24">
        <v>2</v>
      </c>
      <c r="H65" s="37">
        <v>839</v>
      </c>
      <c r="I65" s="37">
        <v>845</v>
      </c>
      <c r="J65" s="37">
        <v>796.2</v>
      </c>
      <c r="K65" s="36">
        <v>27</v>
      </c>
      <c r="L65" s="24" t="s">
        <v>384</v>
      </c>
      <c r="M65" s="37">
        <v>366428.39</v>
      </c>
      <c r="N65" s="79"/>
      <c r="O65" s="79"/>
      <c r="P65" s="37"/>
      <c r="Q65" s="37">
        <v>366428.39</v>
      </c>
      <c r="R65" s="29">
        <f aca="true" t="shared" si="5" ref="R65:R70">M65/I65</f>
        <v>433.6430650887574</v>
      </c>
      <c r="S65" s="29">
        <v>14736.15</v>
      </c>
      <c r="T65" s="24" t="s">
        <v>1359</v>
      </c>
      <c r="U65" s="83">
        <v>6.3</v>
      </c>
      <c r="V65" s="296">
        <v>2018</v>
      </c>
    </row>
    <row r="66" spans="1:22" s="2" customFormat="1" ht="45">
      <c r="A66" s="70">
        <v>26</v>
      </c>
      <c r="B66" s="34" t="s">
        <v>1219</v>
      </c>
      <c r="C66" s="24">
        <v>1981</v>
      </c>
      <c r="D66" s="24">
        <v>2009</v>
      </c>
      <c r="E66" s="24" t="s">
        <v>494</v>
      </c>
      <c r="F66" s="24">
        <v>3</v>
      </c>
      <c r="G66" s="24">
        <v>3</v>
      </c>
      <c r="H66" s="37">
        <v>601.2</v>
      </c>
      <c r="I66" s="37">
        <v>1095.4</v>
      </c>
      <c r="J66" s="37">
        <v>880.2</v>
      </c>
      <c r="K66" s="36">
        <v>55</v>
      </c>
      <c r="L66" s="24" t="s">
        <v>496</v>
      </c>
      <c r="M66" s="37">
        <v>1219290.22</v>
      </c>
      <c r="N66" s="79"/>
      <c r="O66" s="79"/>
      <c r="P66" s="37"/>
      <c r="Q66" s="37">
        <v>1219290.22</v>
      </c>
      <c r="R66" s="29">
        <f t="shared" si="5"/>
        <v>1113.1004381960927</v>
      </c>
      <c r="S66" s="29">
        <v>14736.15</v>
      </c>
      <c r="T66" s="24" t="s">
        <v>1359</v>
      </c>
      <c r="U66" s="83">
        <v>6.3</v>
      </c>
      <c r="V66" s="296">
        <v>2018</v>
      </c>
    </row>
    <row r="67" spans="1:22" s="2" customFormat="1" ht="120">
      <c r="A67" s="70">
        <v>27</v>
      </c>
      <c r="B67" s="34" t="s">
        <v>1220</v>
      </c>
      <c r="C67" s="24">
        <v>1973</v>
      </c>
      <c r="D67" s="24">
        <v>2009</v>
      </c>
      <c r="E67" s="24" t="s">
        <v>374</v>
      </c>
      <c r="F67" s="24">
        <v>2</v>
      </c>
      <c r="G67" s="24">
        <v>2</v>
      </c>
      <c r="H67" s="37">
        <v>496.4</v>
      </c>
      <c r="I67" s="37">
        <v>496.4</v>
      </c>
      <c r="J67" s="37">
        <v>496.4</v>
      </c>
      <c r="K67" s="36">
        <v>21</v>
      </c>
      <c r="L67" s="24" t="s">
        <v>277</v>
      </c>
      <c r="M67" s="37">
        <v>745257.14</v>
      </c>
      <c r="N67" s="79"/>
      <c r="O67" s="79"/>
      <c r="P67" s="37"/>
      <c r="Q67" s="37">
        <v>745257.14</v>
      </c>
      <c r="R67" s="29">
        <f t="shared" si="5"/>
        <v>1501.3238114423852</v>
      </c>
      <c r="S67" s="29">
        <v>14736.15</v>
      </c>
      <c r="T67" s="24" t="s">
        <v>1359</v>
      </c>
      <c r="U67" s="83">
        <v>6.3</v>
      </c>
      <c r="V67" s="296">
        <v>2018</v>
      </c>
    </row>
    <row r="68" spans="1:22" s="2" customFormat="1" ht="45">
      <c r="A68" s="70">
        <v>28</v>
      </c>
      <c r="B68" s="34" t="s">
        <v>192</v>
      </c>
      <c r="C68" s="24">
        <v>1998</v>
      </c>
      <c r="D68" s="34"/>
      <c r="E68" s="24" t="s">
        <v>374</v>
      </c>
      <c r="F68" s="24">
        <v>2</v>
      </c>
      <c r="G68" s="24">
        <v>2</v>
      </c>
      <c r="H68" s="24">
        <v>554.69</v>
      </c>
      <c r="I68" s="24">
        <v>506.09</v>
      </c>
      <c r="J68" s="24">
        <v>506.09</v>
      </c>
      <c r="K68" s="36">
        <v>24</v>
      </c>
      <c r="L68" s="24" t="s">
        <v>489</v>
      </c>
      <c r="M68" s="37">
        <v>1231967.41</v>
      </c>
      <c r="N68" s="37"/>
      <c r="O68" s="37"/>
      <c r="P68" s="37"/>
      <c r="Q68" s="37">
        <v>1231967.41</v>
      </c>
      <c r="R68" s="29">
        <f t="shared" si="5"/>
        <v>2434.2852259479537</v>
      </c>
      <c r="S68" s="29">
        <v>14736.15</v>
      </c>
      <c r="T68" s="24" t="s">
        <v>1359</v>
      </c>
      <c r="U68" s="83">
        <v>6.3</v>
      </c>
      <c r="V68" s="296">
        <v>2018</v>
      </c>
    </row>
    <row r="69" spans="1:22" s="2" customFormat="1" ht="45">
      <c r="A69" s="70">
        <v>29</v>
      </c>
      <c r="B69" s="34" t="s">
        <v>193</v>
      </c>
      <c r="C69" s="24">
        <v>1982</v>
      </c>
      <c r="D69" s="34"/>
      <c r="E69" s="24" t="s">
        <v>374</v>
      </c>
      <c r="F69" s="24">
        <v>2</v>
      </c>
      <c r="G69" s="24">
        <v>4</v>
      </c>
      <c r="H69" s="29">
        <v>1160</v>
      </c>
      <c r="I69" s="29">
        <v>1049.8</v>
      </c>
      <c r="J69" s="29">
        <v>1049.8</v>
      </c>
      <c r="K69" s="36">
        <v>56</v>
      </c>
      <c r="L69" s="24" t="s">
        <v>489</v>
      </c>
      <c r="M69" s="37">
        <v>2530788.83</v>
      </c>
      <c r="N69" s="37"/>
      <c r="O69" s="37"/>
      <c r="P69" s="37"/>
      <c r="Q69" s="37">
        <v>2530788.83</v>
      </c>
      <c r="R69" s="29">
        <f t="shared" si="5"/>
        <v>2410.7342636692706</v>
      </c>
      <c r="S69" s="29">
        <v>14736.15</v>
      </c>
      <c r="T69" s="24" t="s">
        <v>1359</v>
      </c>
      <c r="U69" s="83">
        <v>6.3</v>
      </c>
      <c r="V69" s="296">
        <v>2018</v>
      </c>
    </row>
    <row r="70" spans="1:22" s="2" customFormat="1" ht="15">
      <c r="A70" s="70"/>
      <c r="B70" s="102" t="s">
        <v>1613</v>
      </c>
      <c r="C70" s="24"/>
      <c r="D70" s="24"/>
      <c r="E70" s="24"/>
      <c r="F70" s="24"/>
      <c r="G70" s="24"/>
      <c r="H70" s="81">
        <f>SUM(H65:H69)</f>
        <v>3651.29</v>
      </c>
      <c r="I70" s="81">
        <f>SUM(I65:I69)</f>
        <v>3992.6900000000005</v>
      </c>
      <c r="J70" s="81">
        <f>SUM(J65:J69)</f>
        <v>3728.6900000000005</v>
      </c>
      <c r="K70" s="98">
        <f>SUM(K65:K69)</f>
        <v>183</v>
      </c>
      <c r="L70" s="81"/>
      <c r="M70" s="81">
        <f>SUM(M65:M69)</f>
        <v>6093731.99</v>
      </c>
      <c r="N70" s="81"/>
      <c r="O70" s="81"/>
      <c r="P70" s="81"/>
      <c r="Q70" s="81">
        <f>SUM(Q65:Q69)</f>
        <v>6093731.99</v>
      </c>
      <c r="R70" s="96">
        <f t="shared" si="5"/>
        <v>1526.2221685129573</v>
      </c>
      <c r="S70" s="29"/>
      <c r="T70" s="76"/>
      <c r="U70" s="85"/>
      <c r="V70" s="296"/>
    </row>
    <row r="71" spans="1:22" s="2" customFormat="1" ht="15">
      <c r="A71" s="300" t="s">
        <v>1670</v>
      </c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2"/>
      <c r="R71" s="301"/>
      <c r="S71" s="301"/>
      <c r="T71" s="301"/>
      <c r="U71" s="303"/>
      <c r="V71" s="296"/>
    </row>
    <row r="72" spans="1:22" s="2" customFormat="1" ht="45">
      <c r="A72" s="70">
        <v>30</v>
      </c>
      <c r="B72" s="34" t="s">
        <v>836</v>
      </c>
      <c r="C72" s="24">
        <v>1963</v>
      </c>
      <c r="D72" s="24"/>
      <c r="E72" s="24" t="s">
        <v>374</v>
      </c>
      <c r="F72" s="24">
        <v>2</v>
      </c>
      <c r="G72" s="24">
        <v>2</v>
      </c>
      <c r="H72" s="37">
        <v>534.6</v>
      </c>
      <c r="I72" s="37">
        <v>491.5</v>
      </c>
      <c r="J72" s="37">
        <v>491.5</v>
      </c>
      <c r="K72" s="36">
        <v>26</v>
      </c>
      <c r="L72" s="103" t="s">
        <v>658</v>
      </c>
      <c r="M72" s="37">
        <v>108937.95000000001</v>
      </c>
      <c r="N72" s="37"/>
      <c r="O72" s="37"/>
      <c r="P72" s="37"/>
      <c r="Q72" s="37">
        <v>108937.95000000001</v>
      </c>
      <c r="R72" s="29">
        <f>M72/I72</f>
        <v>221.64384537131232</v>
      </c>
      <c r="S72" s="24">
        <v>14736.15</v>
      </c>
      <c r="T72" s="24" t="s">
        <v>1359</v>
      </c>
      <c r="U72" s="83">
        <v>6.3</v>
      </c>
      <c r="V72" s="296">
        <v>2018</v>
      </c>
    </row>
    <row r="73" spans="1:22" s="2" customFormat="1" ht="45">
      <c r="A73" s="70">
        <v>31</v>
      </c>
      <c r="B73" s="82" t="s">
        <v>194</v>
      </c>
      <c r="C73" s="24">
        <v>1997</v>
      </c>
      <c r="D73" s="24"/>
      <c r="E73" s="24" t="s">
        <v>494</v>
      </c>
      <c r="F73" s="24">
        <v>3</v>
      </c>
      <c r="G73" s="24">
        <v>4</v>
      </c>
      <c r="H73" s="33">
        <v>1747.37</v>
      </c>
      <c r="I73" s="33">
        <v>1747.37</v>
      </c>
      <c r="J73" s="33">
        <v>1747.37</v>
      </c>
      <c r="K73" s="36">
        <v>68</v>
      </c>
      <c r="L73" s="24" t="s">
        <v>489</v>
      </c>
      <c r="M73" s="37">
        <v>2485010.29</v>
      </c>
      <c r="N73" s="37"/>
      <c r="O73" s="37"/>
      <c r="P73" s="37"/>
      <c r="Q73" s="37">
        <v>2485010.29</v>
      </c>
      <c r="R73" s="29">
        <f>M73/I73</f>
        <v>1422.1431580031706</v>
      </c>
      <c r="S73" s="24">
        <v>14736.15</v>
      </c>
      <c r="T73" s="24" t="s">
        <v>1359</v>
      </c>
      <c r="U73" s="83">
        <v>6.3</v>
      </c>
      <c r="V73" s="296">
        <v>2018</v>
      </c>
    </row>
    <row r="74" spans="1:22" s="2" customFormat="1" ht="45">
      <c r="A74" s="70">
        <v>32</v>
      </c>
      <c r="B74" s="34" t="s">
        <v>1221</v>
      </c>
      <c r="C74" s="24">
        <v>1970</v>
      </c>
      <c r="D74" s="24"/>
      <c r="E74" s="24" t="s">
        <v>374</v>
      </c>
      <c r="F74" s="24">
        <v>2</v>
      </c>
      <c r="G74" s="24">
        <v>2</v>
      </c>
      <c r="H74" s="37">
        <v>319.55</v>
      </c>
      <c r="I74" s="37">
        <v>319.55</v>
      </c>
      <c r="J74" s="37">
        <v>319.55</v>
      </c>
      <c r="K74" s="36">
        <v>13</v>
      </c>
      <c r="L74" s="24" t="s">
        <v>489</v>
      </c>
      <c r="M74" s="37">
        <v>972003.74</v>
      </c>
      <c r="N74" s="37"/>
      <c r="O74" s="37"/>
      <c r="P74" s="37"/>
      <c r="Q74" s="37">
        <v>972003.74</v>
      </c>
      <c r="R74" s="29">
        <f>M74/I74</f>
        <v>3041.789203567517</v>
      </c>
      <c r="S74" s="24">
        <v>14736.15</v>
      </c>
      <c r="T74" s="24" t="s">
        <v>1359</v>
      </c>
      <c r="U74" s="83">
        <v>6.3</v>
      </c>
      <c r="V74" s="296">
        <v>2018</v>
      </c>
    </row>
    <row r="75" spans="1:22" s="2" customFormat="1" ht="15">
      <c r="A75" s="70"/>
      <c r="B75" s="84" t="s">
        <v>490</v>
      </c>
      <c r="C75" s="24"/>
      <c r="D75" s="24"/>
      <c r="E75" s="24"/>
      <c r="F75" s="24"/>
      <c r="G75" s="24"/>
      <c r="H75" s="81">
        <f>SUM(H72:H74)</f>
        <v>2601.52</v>
      </c>
      <c r="I75" s="81">
        <f>SUM(I72:I74)</f>
        <v>2558.42</v>
      </c>
      <c r="J75" s="81">
        <f>SUM(J72:J74)</f>
        <v>2558.42</v>
      </c>
      <c r="K75" s="98">
        <f>SUM(K72:K74)</f>
        <v>107</v>
      </c>
      <c r="L75" s="81"/>
      <c r="M75" s="81">
        <f>SUM(M72:M74)</f>
        <v>3565951.9800000004</v>
      </c>
      <c r="N75" s="81"/>
      <c r="O75" s="81"/>
      <c r="P75" s="81"/>
      <c r="Q75" s="81">
        <f>SUM(Q72:Q74)</f>
        <v>3565951.9800000004</v>
      </c>
      <c r="R75" s="96">
        <f>M75/I75</f>
        <v>1393.8102344415695</v>
      </c>
      <c r="S75" s="29"/>
      <c r="T75" s="76"/>
      <c r="U75" s="85"/>
      <c r="V75" s="296"/>
    </row>
    <row r="76" spans="1:22" s="2" customFormat="1" ht="15">
      <c r="A76" s="300" t="s">
        <v>1357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2"/>
      <c r="R76" s="301"/>
      <c r="S76" s="301"/>
      <c r="T76" s="301"/>
      <c r="U76" s="303"/>
      <c r="V76" s="296"/>
    </row>
    <row r="77" spans="1:22" s="2" customFormat="1" ht="45">
      <c r="A77" s="70">
        <v>33</v>
      </c>
      <c r="B77" s="34" t="s">
        <v>825</v>
      </c>
      <c r="C77" s="24">
        <v>1965</v>
      </c>
      <c r="D77" s="24"/>
      <c r="E77" s="24" t="s">
        <v>374</v>
      </c>
      <c r="F77" s="24">
        <v>2</v>
      </c>
      <c r="G77" s="24">
        <v>2</v>
      </c>
      <c r="H77" s="37">
        <v>431</v>
      </c>
      <c r="I77" s="37">
        <v>385.6</v>
      </c>
      <c r="J77" s="37">
        <v>343.2</v>
      </c>
      <c r="K77" s="36">
        <v>17</v>
      </c>
      <c r="L77" s="24" t="s">
        <v>489</v>
      </c>
      <c r="M77" s="37">
        <v>872396.47</v>
      </c>
      <c r="N77" s="24"/>
      <c r="O77" s="79"/>
      <c r="P77" s="79"/>
      <c r="Q77" s="37">
        <v>872396.47</v>
      </c>
      <c r="R77" s="29">
        <f aca="true" t="shared" si="6" ref="R77:R84">M77/I77</f>
        <v>2262.4389782157673</v>
      </c>
      <c r="S77" s="29">
        <v>14736.15</v>
      </c>
      <c r="T77" s="24" t="s">
        <v>1359</v>
      </c>
      <c r="U77" s="83">
        <v>6.3</v>
      </c>
      <c r="V77" s="296">
        <v>2018</v>
      </c>
    </row>
    <row r="78" spans="1:22" s="2" customFormat="1" ht="75">
      <c r="A78" s="70">
        <v>34</v>
      </c>
      <c r="B78" s="34" t="s">
        <v>1054</v>
      </c>
      <c r="C78" s="24">
        <v>1969</v>
      </c>
      <c r="D78" s="24"/>
      <c r="E78" s="24" t="s">
        <v>374</v>
      </c>
      <c r="F78" s="24">
        <v>2</v>
      </c>
      <c r="G78" s="24">
        <v>2</v>
      </c>
      <c r="H78" s="37">
        <v>792.7</v>
      </c>
      <c r="I78" s="37">
        <v>729.3</v>
      </c>
      <c r="J78" s="37">
        <v>608.8</v>
      </c>
      <c r="K78" s="36">
        <v>34</v>
      </c>
      <c r="L78" s="24" t="s">
        <v>1608</v>
      </c>
      <c r="M78" s="37">
        <v>1034310.68</v>
      </c>
      <c r="N78" s="24"/>
      <c r="O78" s="79"/>
      <c r="P78" s="79"/>
      <c r="Q78" s="37">
        <v>1034310.68</v>
      </c>
      <c r="R78" s="29">
        <f t="shared" si="6"/>
        <v>1418.2238859180038</v>
      </c>
      <c r="S78" s="29">
        <v>14736.15</v>
      </c>
      <c r="T78" s="24" t="s">
        <v>1359</v>
      </c>
      <c r="U78" s="83">
        <v>6.3</v>
      </c>
      <c r="V78" s="296">
        <v>2018</v>
      </c>
    </row>
    <row r="79" spans="1:22" s="2" customFormat="1" ht="60">
      <c r="A79" s="70">
        <v>35</v>
      </c>
      <c r="B79" s="34" t="s">
        <v>826</v>
      </c>
      <c r="C79" s="24">
        <v>1969</v>
      </c>
      <c r="D79" s="24"/>
      <c r="E79" s="24" t="s">
        <v>374</v>
      </c>
      <c r="F79" s="24">
        <v>2</v>
      </c>
      <c r="G79" s="24">
        <v>2</v>
      </c>
      <c r="H79" s="37">
        <v>403.4</v>
      </c>
      <c r="I79" s="37">
        <v>364.2</v>
      </c>
      <c r="J79" s="37">
        <v>364.2</v>
      </c>
      <c r="K79" s="36">
        <v>22</v>
      </c>
      <c r="L79" s="24" t="s">
        <v>150</v>
      </c>
      <c r="M79" s="37">
        <v>234052.54</v>
      </c>
      <c r="N79" s="24"/>
      <c r="O79" s="79"/>
      <c r="P79" s="79"/>
      <c r="Q79" s="37">
        <v>234052.54</v>
      </c>
      <c r="R79" s="29">
        <f t="shared" si="6"/>
        <v>642.648380010983</v>
      </c>
      <c r="S79" s="29">
        <v>14736.15</v>
      </c>
      <c r="T79" s="24" t="s">
        <v>1359</v>
      </c>
      <c r="U79" s="83">
        <v>6.3</v>
      </c>
      <c r="V79" s="296">
        <v>2018</v>
      </c>
    </row>
    <row r="80" spans="1:22" s="2" customFormat="1" ht="75">
      <c r="A80" s="70">
        <v>36</v>
      </c>
      <c r="B80" s="34" t="s">
        <v>195</v>
      </c>
      <c r="C80" s="24">
        <v>1974</v>
      </c>
      <c r="D80" s="24"/>
      <c r="E80" s="24" t="s">
        <v>374</v>
      </c>
      <c r="F80" s="24">
        <v>2</v>
      </c>
      <c r="G80" s="24">
        <v>3</v>
      </c>
      <c r="H80" s="29">
        <v>982</v>
      </c>
      <c r="I80" s="29">
        <v>853.1</v>
      </c>
      <c r="J80" s="29">
        <v>492.3</v>
      </c>
      <c r="K80" s="36">
        <v>29</v>
      </c>
      <c r="L80" s="24" t="s">
        <v>196</v>
      </c>
      <c r="M80" s="37">
        <v>744553.64</v>
      </c>
      <c r="N80" s="24"/>
      <c r="O80" s="79"/>
      <c r="P80" s="79"/>
      <c r="Q80" s="37">
        <v>744553.64</v>
      </c>
      <c r="R80" s="29">
        <f t="shared" si="6"/>
        <v>872.7624428554683</v>
      </c>
      <c r="S80" s="29">
        <v>14736.15</v>
      </c>
      <c r="T80" s="24" t="s">
        <v>1359</v>
      </c>
      <c r="U80" s="83">
        <v>6.3</v>
      </c>
      <c r="V80" s="296">
        <v>2018</v>
      </c>
    </row>
    <row r="81" spans="1:22" s="2" customFormat="1" ht="45">
      <c r="A81" s="70">
        <v>37</v>
      </c>
      <c r="B81" s="34" t="s">
        <v>197</v>
      </c>
      <c r="C81" s="24">
        <v>1982</v>
      </c>
      <c r="D81" s="24"/>
      <c r="E81" s="24" t="s">
        <v>374</v>
      </c>
      <c r="F81" s="24">
        <v>2</v>
      </c>
      <c r="G81" s="24">
        <v>3</v>
      </c>
      <c r="H81" s="29">
        <v>943.9</v>
      </c>
      <c r="I81" s="29">
        <v>825.9</v>
      </c>
      <c r="J81" s="29">
        <v>699.3</v>
      </c>
      <c r="K81" s="36">
        <v>42</v>
      </c>
      <c r="L81" s="24" t="s">
        <v>497</v>
      </c>
      <c r="M81" s="37">
        <v>2000587.6</v>
      </c>
      <c r="N81" s="24"/>
      <c r="O81" s="79"/>
      <c r="P81" s="79"/>
      <c r="Q81" s="37">
        <v>2000587.6</v>
      </c>
      <c r="R81" s="29">
        <f t="shared" si="6"/>
        <v>2422.312144327401</v>
      </c>
      <c r="S81" s="29">
        <v>14736.15</v>
      </c>
      <c r="T81" s="24" t="s">
        <v>1359</v>
      </c>
      <c r="U81" s="83">
        <v>6.3</v>
      </c>
      <c r="V81" s="296">
        <v>2018</v>
      </c>
    </row>
    <row r="82" spans="1:22" s="2" customFormat="1" ht="45">
      <c r="A82" s="70">
        <v>38</v>
      </c>
      <c r="B82" s="34" t="s">
        <v>709</v>
      </c>
      <c r="C82" s="24">
        <v>1981</v>
      </c>
      <c r="D82" s="24"/>
      <c r="E82" s="24" t="s">
        <v>374</v>
      </c>
      <c r="F82" s="24">
        <v>2</v>
      </c>
      <c r="G82" s="24">
        <v>1</v>
      </c>
      <c r="H82" s="29">
        <v>997.6</v>
      </c>
      <c r="I82" s="29">
        <v>899.7</v>
      </c>
      <c r="J82" s="29">
        <v>1133.7</v>
      </c>
      <c r="K82" s="36">
        <v>54</v>
      </c>
      <c r="L82" s="24" t="s">
        <v>1584</v>
      </c>
      <c r="M82" s="37">
        <v>358906.08</v>
      </c>
      <c r="N82" s="24"/>
      <c r="O82" s="79"/>
      <c r="P82" s="79"/>
      <c r="Q82" s="37">
        <v>358906.08</v>
      </c>
      <c r="R82" s="29">
        <f t="shared" si="6"/>
        <v>398.9175058352784</v>
      </c>
      <c r="S82" s="29">
        <v>14736.15</v>
      </c>
      <c r="T82" s="24" t="s">
        <v>1359</v>
      </c>
      <c r="U82" s="83">
        <v>6.3</v>
      </c>
      <c r="V82" s="296">
        <v>2018</v>
      </c>
    </row>
    <row r="83" spans="1:22" s="2" customFormat="1" ht="45">
      <c r="A83" s="70">
        <v>39</v>
      </c>
      <c r="B83" s="34" t="s">
        <v>703</v>
      </c>
      <c r="C83" s="24">
        <v>1964</v>
      </c>
      <c r="D83" s="24"/>
      <c r="E83" s="24" t="s">
        <v>374</v>
      </c>
      <c r="F83" s="24">
        <v>2</v>
      </c>
      <c r="G83" s="24">
        <v>2</v>
      </c>
      <c r="H83" s="37">
        <v>419.6</v>
      </c>
      <c r="I83" s="37">
        <v>372.1</v>
      </c>
      <c r="J83" s="37">
        <v>321.8</v>
      </c>
      <c r="K83" s="36">
        <v>12</v>
      </c>
      <c r="L83" s="24" t="s">
        <v>833</v>
      </c>
      <c r="M83" s="37">
        <v>1116339.58</v>
      </c>
      <c r="N83" s="24"/>
      <c r="O83" s="79"/>
      <c r="P83" s="79"/>
      <c r="Q83" s="37">
        <v>1116339.58</v>
      </c>
      <c r="R83" s="29">
        <f t="shared" si="6"/>
        <v>3000.1063692555763</v>
      </c>
      <c r="S83" s="29">
        <v>14736.15</v>
      </c>
      <c r="T83" s="24" t="s">
        <v>1359</v>
      </c>
      <c r="U83" s="83">
        <v>6.3</v>
      </c>
      <c r="V83" s="296">
        <v>2018</v>
      </c>
    </row>
    <row r="84" spans="1:22" s="2" customFormat="1" ht="15">
      <c r="A84" s="70"/>
      <c r="B84" s="84" t="s">
        <v>499</v>
      </c>
      <c r="C84" s="24"/>
      <c r="D84" s="24"/>
      <c r="E84" s="24"/>
      <c r="F84" s="24"/>
      <c r="G84" s="24"/>
      <c r="H84" s="81">
        <f>SUM(H77:H83)</f>
        <v>4970.200000000001</v>
      </c>
      <c r="I84" s="81">
        <f aca="true" t="shared" si="7" ref="I84:Q84">SUM(I77:I83)</f>
        <v>4429.900000000001</v>
      </c>
      <c r="J84" s="81">
        <f t="shared" si="7"/>
        <v>3963.3</v>
      </c>
      <c r="K84" s="98">
        <f t="shared" si="7"/>
        <v>210</v>
      </c>
      <c r="L84" s="81"/>
      <c r="M84" s="81">
        <f t="shared" si="7"/>
        <v>6361146.59</v>
      </c>
      <c r="N84" s="81"/>
      <c r="O84" s="81"/>
      <c r="P84" s="81"/>
      <c r="Q84" s="81">
        <f t="shared" si="7"/>
        <v>6361146.59</v>
      </c>
      <c r="R84" s="96">
        <f t="shared" si="6"/>
        <v>1435.9571525316596</v>
      </c>
      <c r="S84" s="29"/>
      <c r="T84" s="76"/>
      <c r="U84" s="85"/>
      <c r="V84" s="296"/>
    </row>
    <row r="85" spans="1:22" s="2" customFormat="1" ht="15">
      <c r="A85" s="300" t="s">
        <v>1358</v>
      </c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2"/>
      <c r="R85" s="301"/>
      <c r="S85" s="301"/>
      <c r="T85" s="301"/>
      <c r="U85" s="303"/>
      <c r="V85" s="296"/>
    </row>
    <row r="86" spans="1:22" s="2" customFormat="1" ht="45">
      <c r="A86" s="70">
        <v>40</v>
      </c>
      <c r="B86" s="104" t="s">
        <v>1055</v>
      </c>
      <c r="C86" s="35">
        <v>1960</v>
      </c>
      <c r="D86" s="35">
        <v>2015</v>
      </c>
      <c r="E86" s="105" t="s">
        <v>374</v>
      </c>
      <c r="F86" s="35">
        <v>2</v>
      </c>
      <c r="G86" s="35">
        <v>1</v>
      </c>
      <c r="H86" s="37">
        <v>225.9</v>
      </c>
      <c r="I86" s="37">
        <v>225.9</v>
      </c>
      <c r="J86" s="37">
        <v>225.9</v>
      </c>
      <c r="K86" s="36">
        <v>6</v>
      </c>
      <c r="L86" s="105" t="s">
        <v>489</v>
      </c>
      <c r="M86" s="37">
        <v>600782.68</v>
      </c>
      <c r="N86" s="37"/>
      <c r="O86" s="37"/>
      <c r="P86" s="37"/>
      <c r="Q86" s="37">
        <v>600782.68</v>
      </c>
      <c r="R86" s="37">
        <f aca="true" t="shared" si="8" ref="R86:R94">M86/I86</f>
        <v>2659.5072155821163</v>
      </c>
      <c r="S86" s="29">
        <v>14736.15</v>
      </c>
      <c r="T86" s="37" t="s">
        <v>1359</v>
      </c>
      <c r="U86" s="83">
        <v>6.3</v>
      </c>
      <c r="V86" s="296">
        <v>2018</v>
      </c>
    </row>
    <row r="87" spans="1:22" s="2" customFormat="1" ht="90">
      <c r="A87" s="70">
        <v>41</v>
      </c>
      <c r="B87" s="104" t="s">
        <v>1010</v>
      </c>
      <c r="C87" s="35">
        <v>1965</v>
      </c>
      <c r="D87" s="35"/>
      <c r="E87" s="105" t="s">
        <v>374</v>
      </c>
      <c r="F87" s="35">
        <v>2</v>
      </c>
      <c r="G87" s="35">
        <v>2</v>
      </c>
      <c r="H87" s="37">
        <v>489.53</v>
      </c>
      <c r="I87" s="37">
        <v>489.53</v>
      </c>
      <c r="J87" s="37">
        <v>436.63</v>
      </c>
      <c r="K87" s="36">
        <v>21</v>
      </c>
      <c r="L87" s="105" t="s">
        <v>1591</v>
      </c>
      <c r="M87" s="37">
        <v>1266069.65</v>
      </c>
      <c r="N87" s="37"/>
      <c r="O87" s="37"/>
      <c r="P87" s="37"/>
      <c r="Q87" s="37">
        <v>1266069.65</v>
      </c>
      <c r="R87" s="37">
        <f t="shared" si="8"/>
        <v>2586.2963454742303</v>
      </c>
      <c r="S87" s="29">
        <v>14736.15</v>
      </c>
      <c r="T87" s="37" t="s">
        <v>1359</v>
      </c>
      <c r="U87" s="83">
        <v>6.3</v>
      </c>
      <c r="V87" s="296">
        <v>2018</v>
      </c>
    </row>
    <row r="88" spans="1:22" s="2" customFormat="1" ht="45">
      <c r="A88" s="70">
        <v>42</v>
      </c>
      <c r="B88" s="104" t="s">
        <v>137</v>
      </c>
      <c r="C88" s="35">
        <v>1974</v>
      </c>
      <c r="D88" s="35">
        <v>2011</v>
      </c>
      <c r="E88" s="105" t="s">
        <v>374</v>
      </c>
      <c r="F88" s="35">
        <v>2</v>
      </c>
      <c r="G88" s="35">
        <v>2</v>
      </c>
      <c r="H88" s="37">
        <v>725.2</v>
      </c>
      <c r="I88" s="37">
        <v>725.2</v>
      </c>
      <c r="J88" s="37">
        <v>683.1</v>
      </c>
      <c r="K88" s="36">
        <v>29</v>
      </c>
      <c r="L88" s="105" t="s">
        <v>384</v>
      </c>
      <c r="M88" s="37">
        <v>315804.97</v>
      </c>
      <c r="N88" s="37"/>
      <c r="O88" s="37"/>
      <c r="P88" s="37"/>
      <c r="Q88" s="37">
        <v>315804.97</v>
      </c>
      <c r="R88" s="37">
        <f t="shared" si="8"/>
        <v>435.4729316050744</v>
      </c>
      <c r="S88" s="29">
        <v>14736.15</v>
      </c>
      <c r="T88" s="37" t="s">
        <v>1359</v>
      </c>
      <c r="U88" s="83">
        <v>6.3</v>
      </c>
      <c r="V88" s="296">
        <v>2018</v>
      </c>
    </row>
    <row r="89" spans="1:22" s="2" customFormat="1" ht="45">
      <c r="A89" s="70">
        <v>43</v>
      </c>
      <c r="B89" s="104" t="s">
        <v>140</v>
      </c>
      <c r="C89" s="35">
        <v>1968</v>
      </c>
      <c r="D89" s="35">
        <v>2015</v>
      </c>
      <c r="E89" s="105" t="s">
        <v>374</v>
      </c>
      <c r="F89" s="35">
        <v>2</v>
      </c>
      <c r="G89" s="35">
        <v>2</v>
      </c>
      <c r="H89" s="37">
        <v>708.1</v>
      </c>
      <c r="I89" s="37">
        <v>630.6</v>
      </c>
      <c r="J89" s="37">
        <v>541.6</v>
      </c>
      <c r="K89" s="36">
        <v>29</v>
      </c>
      <c r="L89" s="105" t="s">
        <v>1592</v>
      </c>
      <c r="M89" s="37">
        <v>873826.29</v>
      </c>
      <c r="N89" s="37"/>
      <c r="O89" s="37"/>
      <c r="P89" s="37"/>
      <c r="Q89" s="37">
        <v>873826.29</v>
      </c>
      <c r="R89" s="37">
        <f t="shared" si="8"/>
        <v>1385.7061370123693</v>
      </c>
      <c r="S89" s="29">
        <v>14736.15</v>
      </c>
      <c r="T89" s="37" t="s">
        <v>1359</v>
      </c>
      <c r="U89" s="83">
        <v>6.3</v>
      </c>
      <c r="V89" s="296">
        <v>2018</v>
      </c>
    </row>
    <row r="90" spans="1:22" s="2" customFormat="1" ht="45">
      <c r="A90" s="70">
        <v>44</v>
      </c>
      <c r="B90" s="104" t="s">
        <v>198</v>
      </c>
      <c r="C90" s="35">
        <v>1987</v>
      </c>
      <c r="D90" s="35">
        <v>2011</v>
      </c>
      <c r="E90" s="105" t="s">
        <v>374</v>
      </c>
      <c r="F90" s="35">
        <v>3</v>
      </c>
      <c r="G90" s="35">
        <v>3</v>
      </c>
      <c r="H90" s="37">
        <v>1958.04</v>
      </c>
      <c r="I90" s="37">
        <v>1758</v>
      </c>
      <c r="J90" s="37">
        <v>1758</v>
      </c>
      <c r="K90" s="36">
        <v>86</v>
      </c>
      <c r="L90" s="105" t="s">
        <v>384</v>
      </c>
      <c r="M90" s="37">
        <v>530629.1610999999</v>
      </c>
      <c r="N90" s="37"/>
      <c r="O90" s="37"/>
      <c r="P90" s="37"/>
      <c r="Q90" s="37">
        <v>530629.1610999999</v>
      </c>
      <c r="R90" s="37">
        <f>M90/I90</f>
        <v>301.8368379408418</v>
      </c>
      <c r="S90" s="29">
        <v>14736.15</v>
      </c>
      <c r="T90" s="37" t="s">
        <v>1359</v>
      </c>
      <c r="U90" s="83">
        <v>6.3</v>
      </c>
      <c r="V90" s="296">
        <v>2018</v>
      </c>
    </row>
    <row r="91" spans="1:22" s="2" customFormat="1" ht="45">
      <c r="A91" s="70">
        <v>45</v>
      </c>
      <c r="B91" s="104" t="s">
        <v>199</v>
      </c>
      <c r="C91" s="35">
        <v>1999</v>
      </c>
      <c r="D91" s="35"/>
      <c r="E91" s="105" t="s">
        <v>374</v>
      </c>
      <c r="F91" s="35">
        <v>3</v>
      </c>
      <c r="G91" s="35">
        <v>3</v>
      </c>
      <c r="H91" s="37">
        <v>1997.32</v>
      </c>
      <c r="I91" s="37">
        <v>1791.38</v>
      </c>
      <c r="J91" s="37">
        <v>1791.38</v>
      </c>
      <c r="K91" s="36">
        <v>79</v>
      </c>
      <c r="L91" s="105" t="s">
        <v>489</v>
      </c>
      <c r="M91" s="37">
        <v>1572993.02</v>
      </c>
      <c r="N91" s="37"/>
      <c r="O91" s="37"/>
      <c r="P91" s="37"/>
      <c r="Q91" s="37">
        <v>1572993.02</v>
      </c>
      <c r="R91" s="37">
        <f>M91/I91</f>
        <v>878.090086972055</v>
      </c>
      <c r="S91" s="29">
        <v>14736.15</v>
      </c>
      <c r="T91" s="37" t="s">
        <v>1359</v>
      </c>
      <c r="U91" s="83">
        <v>6.3</v>
      </c>
      <c r="V91" s="296">
        <v>2018</v>
      </c>
    </row>
    <row r="92" spans="1:22" s="2" customFormat="1" ht="60">
      <c r="A92" s="70">
        <v>46</v>
      </c>
      <c r="B92" s="104" t="s">
        <v>200</v>
      </c>
      <c r="C92" s="35">
        <v>1984</v>
      </c>
      <c r="D92" s="35"/>
      <c r="E92" s="105" t="s">
        <v>374</v>
      </c>
      <c r="F92" s="35">
        <v>2</v>
      </c>
      <c r="G92" s="35">
        <v>2</v>
      </c>
      <c r="H92" s="37">
        <v>635.44</v>
      </c>
      <c r="I92" s="37">
        <v>552.11</v>
      </c>
      <c r="J92" s="37">
        <v>552.11</v>
      </c>
      <c r="K92" s="36">
        <v>27</v>
      </c>
      <c r="L92" s="105" t="s">
        <v>775</v>
      </c>
      <c r="M92" s="37">
        <v>294190.62</v>
      </c>
      <c r="N92" s="37"/>
      <c r="O92" s="37"/>
      <c r="P92" s="37"/>
      <c r="Q92" s="37">
        <v>294190.62</v>
      </c>
      <c r="R92" s="37">
        <f>M92/I92</f>
        <v>532.8478382930938</v>
      </c>
      <c r="S92" s="29">
        <v>14736.15</v>
      </c>
      <c r="T92" s="37" t="s">
        <v>1359</v>
      </c>
      <c r="U92" s="83">
        <v>6.3</v>
      </c>
      <c r="V92" s="296">
        <v>2018</v>
      </c>
    </row>
    <row r="93" spans="1:22" s="2" customFormat="1" ht="45">
      <c r="A93" s="70">
        <v>47</v>
      </c>
      <c r="B93" s="104" t="s">
        <v>1529</v>
      </c>
      <c r="C93" s="35">
        <v>1971</v>
      </c>
      <c r="D93" s="35">
        <v>2016</v>
      </c>
      <c r="E93" s="105" t="s">
        <v>374</v>
      </c>
      <c r="F93" s="35">
        <v>2</v>
      </c>
      <c r="G93" s="35">
        <v>1</v>
      </c>
      <c r="H93" s="37">
        <v>462.1</v>
      </c>
      <c r="I93" s="37">
        <v>462.1</v>
      </c>
      <c r="J93" s="37">
        <v>258.8</v>
      </c>
      <c r="K93" s="36">
        <v>32</v>
      </c>
      <c r="L93" s="105" t="s">
        <v>489</v>
      </c>
      <c r="M93" s="37">
        <v>457034.83</v>
      </c>
      <c r="N93" s="37"/>
      <c r="O93" s="37"/>
      <c r="P93" s="37"/>
      <c r="Q93" s="37">
        <v>457034.83</v>
      </c>
      <c r="R93" s="37">
        <f t="shared" si="8"/>
        <v>989.0388011252976</v>
      </c>
      <c r="S93" s="29">
        <v>14736.15</v>
      </c>
      <c r="T93" s="37" t="s">
        <v>1359</v>
      </c>
      <c r="U93" s="83">
        <v>6.3</v>
      </c>
      <c r="V93" s="296">
        <v>2018</v>
      </c>
    </row>
    <row r="94" spans="1:22" s="2" customFormat="1" ht="15">
      <c r="A94" s="106"/>
      <c r="B94" s="84" t="s">
        <v>951</v>
      </c>
      <c r="C94" s="107"/>
      <c r="D94" s="107"/>
      <c r="E94" s="24"/>
      <c r="F94" s="107"/>
      <c r="G94" s="107"/>
      <c r="H94" s="81">
        <f>SUM(H86:H93)</f>
        <v>7201.630000000001</v>
      </c>
      <c r="I94" s="81">
        <f>SUM(I86:I93)</f>
        <v>6634.820000000001</v>
      </c>
      <c r="J94" s="81">
        <f>SUM(J86:J93)</f>
        <v>6247.52</v>
      </c>
      <c r="K94" s="98">
        <f>SUM(K86:K93)</f>
        <v>309</v>
      </c>
      <c r="L94" s="81"/>
      <c r="M94" s="81">
        <f>SUM(M86:M93)</f>
        <v>5911331.2211</v>
      </c>
      <c r="N94" s="81"/>
      <c r="O94" s="81"/>
      <c r="P94" s="81"/>
      <c r="Q94" s="81">
        <f>SUM(Q86:Q93)</f>
        <v>5911331.2211</v>
      </c>
      <c r="R94" s="81">
        <f t="shared" si="8"/>
        <v>890.955778920905</v>
      </c>
      <c r="S94" s="107"/>
      <c r="T94" s="107"/>
      <c r="U94" s="75"/>
      <c r="V94" s="296"/>
    </row>
    <row r="95" spans="1:22" s="2" customFormat="1" ht="15">
      <c r="A95" s="300" t="s">
        <v>1362</v>
      </c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2"/>
      <c r="R95" s="301"/>
      <c r="S95" s="301"/>
      <c r="T95" s="301"/>
      <c r="U95" s="303"/>
      <c r="V95" s="296"/>
    </row>
    <row r="96" spans="1:22" s="2" customFormat="1" ht="45">
      <c r="A96" s="70">
        <v>48</v>
      </c>
      <c r="B96" s="104" t="s">
        <v>588</v>
      </c>
      <c r="C96" s="67">
        <v>1965</v>
      </c>
      <c r="D96" s="76">
        <v>2009</v>
      </c>
      <c r="E96" s="76" t="s">
        <v>374</v>
      </c>
      <c r="F96" s="67">
        <v>2</v>
      </c>
      <c r="G96" s="67">
        <v>2</v>
      </c>
      <c r="H96" s="37">
        <v>373.74</v>
      </c>
      <c r="I96" s="37">
        <v>373.74</v>
      </c>
      <c r="J96" s="37">
        <v>373.74</v>
      </c>
      <c r="K96" s="36">
        <v>17</v>
      </c>
      <c r="L96" s="76" t="s">
        <v>384</v>
      </c>
      <c r="M96" s="37">
        <v>181873.31</v>
      </c>
      <c r="N96" s="37"/>
      <c r="O96" s="37"/>
      <c r="P96" s="37"/>
      <c r="Q96" s="37">
        <v>181873.31</v>
      </c>
      <c r="R96" s="29">
        <f>M96/I96</f>
        <v>486.6305720554396</v>
      </c>
      <c r="S96" s="29">
        <v>14736.15</v>
      </c>
      <c r="T96" s="24" t="s">
        <v>1359</v>
      </c>
      <c r="U96" s="83">
        <v>6.3</v>
      </c>
      <c r="V96" s="296">
        <v>2018</v>
      </c>
    </row>
    <row r="97" spans="1:22" s="2" customFormat="1" ht="45">
      <c r="A97" s="70">
        <v>49</v>
      </c>
      <c r="B97" s="104" t="s">
        <v>1080</v>
      </c>
      <c r="C97" s="67">
        <v>1991</v>
      </c>
      <c r="D97" s="76">
        <v>2007</v>
      </c>
      <c r="E97" s="76" t="s">
        <v>494</v>
      </c>
      <c r="F97" s="67">
        <v>3</v>
      </c>
      <c r="G97" s="67">
        <v>3</v>
      </c>
      <c r="H97" s="37">
        <v>1970.1</v>
      </c>
      <c r="I97" s="37">
        <v>1970.1</v>
      </c>
      <c r="J97" s="37">
        <v>1970.1</v>
      </c>
      <c r="K97" s="36">
        <v>82</v>
      </c>
      <c r="L97" s="76" t="s">
        <v>112</v>
      </c>
      <c r="M97" s="37">
        <v>3496837.48</v>
      </c>
      <c r="N97" s="37"/>
      <c r="O97" s="37"/>
      <c r="P97" s="37"/>
      <c r="Q97" s="37">
        <v>3496837.48</v>
      </c>
      <c r="R97" s="29">
        <f>M97/I97</f>
        <v>1774.9543068879752</v>
      </c>
      <c r="S97" s="29">
        <v>14736.15</v>
      </c>
      <c r="T97" s="24" t="s">
        <v>1359</v>
      </c>
      <c r="U97" s="83">
        <v>6.3</v>
      </c>
      <c r="V97" s="296">
        <v>2018</v>
      </c>
    </row>
    <row r="98" spans="1:22" s="13" customFormat="1" ht="45">
      <c r="A98" s="70">
        <v>50</v>
      </c>
      <c r="B98" s="104" t="s">
        <v>1646</v>
      </c>
      <c r="C98" s="67">
        <v>1948</v>
      </c>
      <c r="D98" s="76">
        <v>2004</v>
      </c>
      <c r="E98" s="76" t="s">
        <v>374</v>
      </c>
      <c r="F98" s="67">
        <v>2</v>
      </c>
      <c r="G98" s="67">
        <v>1</v>
      </c>
      <c r="H98" s="37">
        <v>309.5</v>
      </c>
      <c r="I98" s="37">
        <v>309.5</v>
      </c>
      <c r="J98" s="37">
        <v>309.5</v>
      </c>
      <c r="K98" s="36">
        <v>12</v>
      </c>
      <c r="L98" s="76" t="s">
        <v>384</v>
      </c>
      <c r="M98" s="37">
        <v>104309.75</v>
      </c>
      <c r="N98" s="37"/>
      <c r="O98" s="37"/>
      <c r="P98" s="37"/>
      <c r="Q98" s="37">
        <v>104309.75</v>
      </c>
      <c r="R98" s="29">
        <f>M98/I98</f>
        <v>337.02665589660745</v>
      </c>
      <c r="S98" s="29">
        <v>14736.15</v>
      </c>
      <c r="T98" s="24" t="s">
        <v>1359</v>
      </c>
      <c r="U98" s="83">
        <v>6.3</v>
      </c>
      <c r="V98" s="296">
        <v>2018</v>
      </c>
    </row>
    <row r="99" spans="1:22" s="3" customFormat="1" ht="15">
      <c r="A99" s="70"/>
      <c r="B99" s="84" t="s">
        <v>490</v>
      </c>
      <c r="C99" s="108"/>
      <c r="D99" s="108"/>
      <c r="E99" s="76"/>
      <c r="F99" s="108"/>
      <c r="G99" s="108"/>
      <c r="H99" s="81">
        <f>SUM(H96:H98)</f>
        <v>2653.34</v>
      </c>
      <c r="I99" s="81">
        <f aca="true" t="shared" si="9" ref="I99:Q99">SUM(I96:I98)</f>
        <v>2653.34</v>
      </c>
      <c r="J99" s="81">
        <f t="shared" si="9"/>
        <v>2653.34</v>
      </c>
      <c r="K99" s="98">
        <f t="shared" si="9"/>
        <v>111</v>
      </c>
      <c r="L99" s="81"/>
      <c r="M99" s="81">
        <f t="shared" si="9"/>
        <v>3783020.54</v>
      </c>
      <c r="N99" s="81"/>
      <c r="O99" s="81"/>
      <c r="P99" s="81"/>
      <c r="Q99" s="81">
        <f t="shared" si="9"/>
        <v>3783020.54</v>
      </c>
      <c r="R99" s="96">
        <f>M99/I99</f>
        <v>1425.7579277439002</v>
      </c>
      <c r="S99" s="29"/>
      <c r="T99" s="76"/>
      <c r="U99" s="85"/>
      <c r="V99" s="296"/>
    </row>
    <row r="100" spans="1:22" s="2" customFormat="1" ht="15">
      <c r="A100" s="300" t="s">
        <v>375</v>
      </c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2"/>
      <c r="R100" s="301"/>
      <c r="S100" s="301"/>
      <c r="T100" s="301"/>
      <c r="U100" s="303"/>
      <c r="V100" s="296"/>
    </row>
    <row r="101" spans="1:22" s="2" customFormat="1" ht="45">
      <c r="A101" s="70">
        <v>51</v>
      </c>
      <c r="B101" s="82" t="s">
        <v>583</v>
      </c>
      <c r="C101" s="33">
        <v>1989</v>
      </c>
      <c r="D101" s="33"/>
      <c r="E101" s="33" t="s">
        <v>374</v>
      </c>
      <c r="F101" s="33">
        <v>2</v>
      </c>
      <c r="G101" s="33">
        <v>3</v>
      </c>
      <c r="H101" s="109">
        <v>920.32</v>
      </c>
      <c r="I101" s="110">
        <v>832.42</v>
      </c>
      <c r="J101" s="110">
        <v>781.31</v>
      </c>
      <c r="K101" s="268">
        <v>41</v>
      </c>
      <c r="L101" s="24" t="s">
        <v>496</v>
      </c>
      <c r="M101" s="37">
        <v>2400218.18</v>
      </c>
      <c r="N101" s="109"/>
      <c r="O101" s="109"/>
      <c r="P101" s="109"/>
      <c r="Q101" s="37">
        <v>2400218.18</v>
      </c>
      <c r="R101" s="111">
        <f aca="true" t="shared" si="10" ref="R101:R119">M101/I101</f>
        <v>2883.4220465630333</v>
      </c>
      <c r="S101" s="29">
        <v>14736.15</v>
      </c>
      <c r="T101" s="24" t="s">
        <v>1359</v>
      </c>
      <c r="U101" s="83">
        <v>6.3</v>
      </c>
      <c r="V101" s="296">
        <v>2018</v>
      </c>
    </row>
    <row r="102" spans="1:22" s="2" customFormat="1" ht="45">
      <c r="A102" s="70">
        <v>52</v>
      </c>
      <c r="B102" s="82" t="s">
        <v>201</v>
      </c>
      <c r="C102" s="33">
        <v>1965</v>
      </c>
      <c r="D102" s="33">
        <v>2009</v>
      </c>
      <c r="E102" s="33" t="s">
        <v>374</v>
      </c>
      <c r="F102" s="33">
        <v>2</v>
      </c>
      <c r="G102" s="33">
        <v>1</v>
      </c>
      <c r="H102" s="109">
        <v>567.14</v>
      </c>
      <c r="I102" s="110">
        <v>520.5</v>
      </c>
      <c r="J102" s="110">
        <v>520.5</v>
      </c>
      <c r="K102" s="268">
        <v>27</v>
      </c>
      <c r="L102" s="24" t="s">
        <v>1069</v>
      </c>
      <c r="M102" s="37">
        <v>424642.2</v>
      </c>
      <c r="N102" s="109"/>
      <c r="O102" s="109"/>
      <c r="P102" s="109"/>
      <c r="Q102" s="37">
        <v>424642.2</v>
      </c>
      <c r="R102" s="111">
        <f t="shared" si="10"/>
        <v>815.8351585014409</v>
      </c>
      <c r="S102" s="29">
        <v>14736.15</v>
      </c>
      <c r="T102" s="24" t="s">
        <v>1359</v>
      </c>
      <c r="U102" s="83">
        <v>6.3</v>
      </c>
      <c r="V102" s="296">
        <v>2018</v>
      </c>
    </row>
    <row r="103" spans="1:22" s="2" customFormat="1" ht="45">
      <c r="A103" s="70">
        <v>53</v>
      </c>
      <c r="B103" s="82" t="s">
        <v>202</v>
      </c>
      <c r="C103" s="33">
        <v>1962</v>
      </c>
      <c r="D103" s="33"/>
      <c r="E103" s="33" t="s">
        <v>374</v>
      </c>
      <c r="F103" s="33">
        <v>2</v>
      </c>
      <c r="G103" s="33">
        <v>1</v>
      </c>
      <c r="H103" s="109">
        <v>289.18</v>
      </c>
      <c r="I103" s="110">
        <v>264.66</v>
      </c>
      <c r="J103" s="110">
        <v>264.66</v>
      </c>
      <c r="K103" s="268">
        <v>11</v>
      </c>
      <c r="L103" s="24" t="s">
        <v>489</v>
      </c>
      <c r="M103" s="37">
        <v>670428.05</v>
      </c>
      <c r="N103" s="109"/>
      <c r="O103" s="109"/>
      <c r="P103" s="109"/>
      <c r="Q103" s="37">
        <v>670428.05</v>
      </c>
      <c r="R103" s="111">
        <f t="shared" si="10"/>
        <v>2533.1672712158997</v>
      </c>
      <c r="S103" s="29">
        <v>14736.15</v>
      </c>
      <c r="T103" s="24" t="s">
        <v>1359</v>
      </c>
      <c r="U103" s="83">
        <v>6.3</v>
      </c>
      <c r="V103" s="296">
        <v>2018</v>
      </c>
    </row>
    <row r="104" spans="1:22" s="2" customFormat="1" ht="45">
      <c r="A104" s="70">
        <v>54</v>
      </c>
      <c r="B104" s="82" t="s">
        <v>203</v>
      </c>
      <c r="C104" s="33">
        <v>1984</v>
      </c>
      <c r="D104" s="33"/>
      <c r="E104" s="33" t="s">
        <v>374</v>
      </c>
      <c r="F104" s="33">
        <v>2</v>
      </c>
      <c r="G104" s="33">
        <v>3</v>
      </c>
      <c r="H104" s="109">
        <v>979.19</v>
      </c>
      <c r="I104" s="110">
        <v>879.31</v>
      </c>
      <c r="J104" s="110">
        <v>879.31</v>
      </c>
      <c r="K104" s="268">
        <v>21</v>
      </c>
      <c r="L104" s="24" t="s">
        <v>489</v>
      </c>
      <c r="M104" s="37">
        <v>2108049.03</v>
      </c>
      <c r="N104" s="109"/>
      <c r="O104" s="109"/>
      <c r="P104" s="109"/>
      <c r="Q104" s="37">
        <v>2108049.03</v>
      </c>
      <c r="R104" s="111">
        <f t="shared" si="10"/>
        <v>2397.3900330941306</v>
      </c>
      <c r="S104" s="29">
        <v>14736.15</v>
      </c>
      <c r="T104" s="24" t="s">
        <v>1359</v>
      </c>
      <c r="U104" s="83">
        <v>6.3</v>
      </c>
      <c r="V104" s="296">
        <v>2018</v>
      </c>
    </row>
    <row r="105" spans="1:22" s="2" customFormat="1" ht="33.75" customHeight="1">
      <c r="A105" s="70">
        <v>55</v>
      </c>
      <c r="B105" s="82" t="s">
        <v>1141</v>
      </c>
      <c r="C105" s="33">
        <v>1990</v>
      </c>
      <c r="D105" s="33"/>
      <c r="E105" s="33" t="s">
        <v>374</v>
      </c>
      <c r="F105" s="33">
        <v>2</v>
      </c>
      <c r="G105" s="33">
        <v>1</v>
      </c>
      <c r="H105" s="109">
        <v>417.914</v>
      </c>
      <c r="I105" s="110">
        <v>391.11</v>
      </c>
      <c r="J105" s="110">
        <v>391.11</v>
      </c>
      <c r="K105" s="268">
        <v>21</v>
      </c>
      <c r="L105" s="24" t="s">
        <v>489</v>
      </c>
      <c r="M105" s="37">
        <v>941540.67</v>
      </c>
      <c r="N105" s="109"/>
      <c r="O105" s="109"/>
      <c r="P105" s="109"/>
      <c r="Q105" s="37">
        <v>941540.67</v>
      </c>
      <c r="R105" s="111">
        <f t="shared" si="10"/>
        <v>2407.355143054384</v>
      </c>
      <c r="S105" s="29">
        <v>14736.15</v>
      </c>
      <c r="T105" s="24" t="s">
        <v>1359</v>
      </c>
      <c r="U105" s="83">
        <v>6.3</v>
      </c>
      <c r="V105" s="296">
        <v>2018</v>
      </c>
    </row>
    <row r="106" spans="1:22" s="2" customFormat="1" ht="15">
      <c r="A106" s="70"/>
      <c r="B106" s="112" t="s">
        <v>1267</v>
      </c>
      <c r="C106" s="24"/>
      <c r="D106" s="24"/>
      <c r="E106" s="24"/>
      <c r="F106" s="24"/>
      <c r="G106" s="24"/>
      <c r="H106" s="81">
        <f>SUM(H101:H105)</f>
        <v>3173.7439999999997</v>
      </c>
      <c r="I106" s="81">
        <f>SUM(I101:I105)</f>
        <v>2888.0000000000005</v>
      </c>
      <c r="J106" s="81">
        <f>SUM(J101:J105)</f>
        <v>2836.89</v>
      </c>
      <c r="K106" s="98">
        <f>SUM(K101:K105)</f>
        <v>121</v>
      </c>
      <c r="L106" s="81"/>
      <c r="M106" s="81">
        <f>SUM(M101:M105)</f>
        <v>6544878.130000001</v>
      </c>
      <c r="N106" s="81"/>
      <c r="O106" s="81"/>
      <c r="P106" s="81"/>
      <c r="Q106" s="81">
        <f>SUM(Q101:Q105)</f>
        <v>6544878.130000001</v>
      </c>
      <c r="R106" s="113">
        <f t="shared" si="10"/>
        <v>2266.232039473684</v>
      </c>
      <c r="S106" s="29"/>
      <c r="T106" s="76"/>
      <c r="U106" s="85"/>
      <c r="V106" s="296"/>
    </row>
    <row r="107" spans="1:22" s="2" customFormat="1" ht="15">
      <c r="A107" s="300" t="s">
        <v>385</v>
      </c>
      <c r="B107" s="301"/>
      <c r="C107" s="301"/>
      <c r="D107" s="301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2"/>
      <c r="R107" s="301"/>
      <c r="S107" s="301"/>
      <c r="T107" s="301"/>
      <c r="U107" s="303"/>
      <c r="V107" s="296"/>
    </row>
    <row r="108" spans="1:22" s="2" customFormat="1" ht="45">
      <c r="A108" s="70">
        <v>56</v>
      </c>
      <c r="B108" s="82" t="s">
        <v>164</v>
      </c>
      <c r="C108" s="33">
        <v>1970</v>
      </c>
      <c r="D108" s="33"/>
      <c r="E108" s="33" t="s">
        <v>374</v>
      </c>
      <c r="F108" s="33">
        <v>2</v>
      </c>
      <c r="G108" s="33">
        <v>1</v>
      </c>
      <c r="H108" s="109">
        <v>288.1</v>
      </c>
      <c r="I108" s="109">
        <v>266.5</v>
      </c>
      <c r="J108" s="109">
        <v>266.5</v>
      </c>
      <c r="K108" s="268">
        <v>17</v>
      </c>
      <c r="L108" s="33" t="s">
        <v>489</v>
      </c>
      <c r="M108" s="37">
        <v>623708.9</v>
      </c>
      <c r="N108" s="109"/>
      <c r="O108" s="109"/>
      <c r="P108" s="114"/>
      <c r="Q108" s="37">
        <v>623708.9</v>
      </c>
      <c r="R108" s="110">
        <f t="shared" si="10"/>
        <v>2340.3711069418387</v>
      </c>
      <c r="S108" s="29">
        <v>14736.15</v>
      </c>
      <c r="T108" s="24" t="s">
        <v>1359</v>
      </c>
      <c r="U108" s="83">
        <v>6.3</v>
      </c>
      <c r="V108" s="296">
        <v>2018</v>
      </c>
    </row>
    <row r="109" spans="1:22" s="2" customFormat="1" ht="45">
      <c r="A109" s="70">
        <v>57</v>
      </c>
      <c r="B109" s="82" t="s">
        <v>1056</v>
      </c>
      <c r="C109" s="33">
        <v>1969</v>
      </c>
      <c r="D109" s="33"/>
      <c r="E109" s="33" t="s">
        <v>374</v>
      </c>
      <c r="F109" s="33">
        <v>2</v>
      </c>
      <c r="G109" s="33">
        <v>2</v>
      </c>
      <c r="H109" s="109">
        <v>415.5</v>
      </c>
      <c r="I109" s="109">
        <v>371.8</v>
      </c>
      <c r="J109" s="109">
        <v>362.2</v>
      </c>
      <c r="K109" s="268">
        <v>12</v>
      </c>
      <c r="L109" s="33" t="s">
        <v>489</v>
      </c>
      <c r="M109" s="37">
        <v>926756.85</v>
      </c>
      <c r="N109" s="109"/>
      <c r="O109" s="109"/>
      <c r="P109" s="114"/>
      <c r="Q109" s="37">
        <v>926756.85</v>
      </c>
      <c r="R109" s="110">
        <f t="shared" si="10"/>
        <v>2492.6219741796663</v>
      </c>
      <c r="S109" s="29">
        <v>14736.15</v>
      </c>
      <c r="T109" s="24" t="s">
        <v>1359</v>
      </c>
      <c r="U109" s="83">
        <v>6.3</v>
      </c>
      <c r="V109" s="296">
        <v>2018</v>
      </c>
    </row>
    <row r="110" spans="1:22" s="2" customFormat="1" ht="35.25" customHeight="1">
      <c r="A110" s="70">
        <v>58</v>
      </c>
      <c r="B110" s="82" t="s">
        <v>1057</v>
      </c>
      <c r="C110" s="33">
        <v>1973</v>
      </c>
      <c r="D110" s="33"/>
      <c r="E110" s="33" t="s">
        <v>374</v>
      </c>
      <c r="F110" s="33">
        <v>2</v>
      </c>
      <c r="G110" s="33">
        <v>2</v>
      </c>
      <c r="H110" s="109">
        <v>773.5</v>
      </c>
      <c r="I110" s="109">
        <v>715.3</v>
      </c>
      <c r="J110" s="109">
        <v>671.7</v>
      </c>
      <c r="K110" s="268">
        <v>20</v>
      </c>
      <c r="L110" s="33" t="s">
        <v>489</v>
      </c>
      <c r="M110" s="37">
        <v>1460730.82</v>
      </c>
      <c r="N110" s="109"/>
      <c r="O110" s="109"/>
      <c r="P110" s="114"/>
      <c r="Q110" s="37">
        <v>1460730.82</v>
      </c>
      <c r="R110" s="110">
        <f t="shared" si="10"/>
        <v>2042.1233328673286</v>
      </c>
      <c r="S110" s="29">
        <v>14736.15</v>
      </c>
      <c r="T110" s="24" t="s">
        <v>1359</v>
      </c>
      <c r="U110" s="83">
        <v>6.3</v>
      </c>
      <c r="V110" s="296">
        <v>2018</v>
      </c>
    </row>
    <row r="111" spans="1:22" s="2" customFormat="1" ht="32.25" customHeight="1">
      <c r="A111" s="70">
        <v>59</v>
      </c>
      <c r="B111" s="82" t="s">
        <v>166</v>
      </c>
      <c r="C111" s="33">
        <v>1979</v>
      </c>
      <c r="D111" s="33"/>
      <c r="E111" s="33" t="s">
        <v>374</v>
      </c>
      <c r="F111" s="33">
        <v>2</v>
      </c>
      <c r="G111" s="33">
        <v>1</v>
      </c>
      <c r="H111" s="109">
        <v>387.6</v>
      </c>
      <c r="I111" s="109">
        <v>352.6</v>
      </c>
      <c r="J111" s="109">
        <v>352.6</v>
      </c>
      <c r="K111" s="268">
        <v>15</v>
      </c>
      <c r="L111" s="33" t="s">
        <v>489</v>
      </c>
      <c r="M111" s="37">
        <v>979606.31</v>
      </c>
      <c r="N111" s="109"/>
      <c r="O111" s="109"/>
      <c r="P111" s="114"/>
      <c r="Q111" s="37">
        <v>979606.31</v>
      </c>
      <c r="R111" s="110">
        <f t="shared" si="10"/>
        <v>2778.236840612592</v>
      </c>
      <c r="S111" s="29">
        <v>14736.15</v>
      </c>
      <c r="T111" s="24" t="s">
        <v>1359</v>
      </c>
      <c r="U111" s="83">
        <v>6.3</v>
      </c>
      <c r="V111" s="296">
        <v>2018</v>
      </c>
    </row>
    <row r="112" spans="1:22" s="2" customFormat="1" ht="45">
      <c r="A112" s="70">
        <v>60</v>
      </c>
      <c r="B112" s="82" t="s">
        <v>165</v>
      </c>
      <c r="C112" s="33">
        <v>1952</v>
      </c>
      <c r="D112" s="33"/>
      <c r="E112" s="33" t="s">
        <v>374</v>
      </c>
      <c r="F112" s="33">
        <v>2</v>
      </c>
      <c r="G112" s="33">
        <v>2</v>
      </c>
      <c r="H112" s="109">
        <v>414.2</v>
      </c>
      <c r="I112" s="109">
        <v>366.6</v>
      </c>
      <c r="J112" s="109">
        <v>366.6</v>
      </c>
      <c r="K112" s="268">
        <v>22</v>
      </c>
      <c r="L112" s="33" t="s">
        <v>489</v>
      </c>
      <c r="M112" s="37">
        <v>907981.16</v>
      </c>
      <c r="N112" s="109"/>
      <c r="O112" s="109"/>
      <c r="P112" s="114"/>
      <c r="Q112" s="37">
        <v>907981.16</v>
      </c>
      <c r="R112" s="110">
        <f t="shared" si="10"/>
        <v>2476.762575013639</v>
      </c>
      <c r="S112" s="29">
        <v>14736.15</v>
      </c>
      <c r="T112" s="24" t="s">
        <v>1359</v>
      </c>
      <c r="U112" s="83">
        <v>6.3</v>
      </c>
      <c r="V112" s="296">
        <v>2018</v>
      </c>
    </row>
    <row r="113" spans="1:22" s="2" customFormat="1" ht="45">
      <c r="A113" s="70">
        <v>61</v>
      </c>
      <c r="B113" s="82" t="s">
        <v>1058</v>
      </c>
      <c r="C113" s="33">
        <v>1967</v>
      </c>
      <c r="D113" s="33"/>
      <c r="E113" s="33" t="s">
        <v>374</v>
      </c>
      <c r="F113" s="33">
        <v>2</v>
      </c>
      <c r="G113" s="33">
        <v>2</v>
      </c>
      <c r="H113" s="109">
        <v>782.8</v>
      </c>
      <c r="I113" s="109">
        <v>713.9</v>
      </c>
      <c r="J113" s="109">
        <v>648.9</v>
      </c>
      <c r="K113" s="268">
        <v>39</v>
      </c>
      <c r="L113" s="33" t="s">
        <v>489</v>
      </c>
      <c r="M113" s="37">
        <v>1233090.15</v>
      </c>
      <c r="N113" s="109"/>
      <c r="O113" s="109"/>
      <c r="P113" s="114"/>
      <c r="Q113" s="37">
        <v>1233090.15</v>
      </c>
      <c r="R113" s="110">
        <f t="shared" si="10"/>
        <v>1727.258929822104</v>
      </c>
      <c r="S113" s="29">
        <v>14736.15</v>
      </c>
      <c r="T113" s="24" t="s">
        <v>1359</v>
      </c>
      <c r="U113" s="83">
        <v>6.3</v>
      </c>
      <c r="V113" s="296">
        <v>2018</v>
      </c>
    </row>
    <row r="114" spans="1:22" s="2" customFormat="1" ht="33.75" customHeight="1">
      <c r="A114" s="70">
        <v>62</v>
      </c>
      <c r="B114" s="82" t="s">
        <v>167</v>
      </c>
      <c r="C114" s="33">
        <v>1977</v>
      </c>
      <c r="D114" s="33"/>
      <c r="E114" s="33" t="s">
        <v>374</v>
      </c>
      <c r="F114" s="33">
        <v>2</v>
      </c>
      <c r="G114" s="33">
        <v>3</v>
      </c>
      <c r="H114" s="109">
        <v>913.3</v>
      </c>
      <c r="I114" s="109">
        <v>830.8</v>
      </c>
      <c r="J114" s="109">
        <v>786.8</v>
      </c>
      <c r="K114" s="268">
        <v>39</v>
      </c>
      <c r="L114" s="24" t="s">
        <v>384</v>
      </c>
      <c r="M114" s="37">
        <v>390067.56</v>
      </c>
      <c r="N114" s="109"/>
      <c r="O114" s="109"/>
      <c r="P114" s="114"/>
      <c r="Q114" s="37">
        <v>390067.56</v>
      </c>
      <c r="R114" s="110">
        <f t="shared" si="10"/>
        <v>469.50837746750125</v>
      </c>
      <c r="S114" s="29">
        <v>14736.15</v>
      </c>
      <c r="T114" s="24" t="s">
        <v>1359</v>
      </c>
      <c r="U114" s="83">
        <v>6.3</v>
      </c>
      <c r="V114" s="296">
        <v>2018</v>
      </c>
    </row>
    <row r="115" spans="1:22" s="2" customFormat="1" ht="60">
      <c r="A115" s="70">
        <v>63</v>
      </c>
      <c r="B115" s="82" t="s">
        <v>168</v>
      </c>
      <c r="C115" s="33">
        <v>1978</v>
      </c>
      <c r="D115" s="33"/>
      <c r="E115" s="33" t="s">
        <v>374</v>
      </c>
      <c r="F115" s="33">
        <v>2</v>
      </c>
      <c r="G115" s="33">
        <v>3</v>
      </c>
      <c r="H115" s="109">
        <v>913.4</v>
      </c>
      <c r="I115" s="109">
        <v>832.5</v>
      </c>
      <c r="J115" s="109">
        <v>815.7</v>
      </c>
      <c r="K115" s="268">
        <v>29</v>
      </c>
      <c r="L115" s="62" t="s">
        <v>505</v>
      </c>
      <c r="M115" s="37">
        <v>396569.87</v>
      </c>
      <c r="N115" s="109"/>
      <c r="O115" s="109"/>
      <c r="P115" s="114"/>
      <c r="Q115" s="37">
        <v>396569.87</v>
      </c>
      <c r="R115" s="110">
        <f t="shared" si="10"/>
        <v>476.3602042042042</v>
      </c>
      <c r="S115" s="29">
        <v>14736.15</v>
      </c>
      <c r="T115" s="24" t="s">
        <v>1359</v>
      </c>
      <c r="U115" s="83">
        <v>6.3</v>
      </c>
      <c r="V115" s="296">
        <v>2018</v>
      </c>
    </row>
    <row r="116" spans="1:22" s="2" customFormat="1" ht="33" customHeight="1">
      <c r="A116" s="70">
        <v>64</v>
      </c>
      <c r="B116" s="82" t="s">
        <v>169</v>
      </c>
      <c r="C116" s="33">
        <v>1983</v>
      </c>
      <c r="D116" s="33"/>
      <c r="E116" s="33" t="s">
        <v>374</v>
      </c>
      <c r="F116" s="33">
        <v>2</v>
      </c>
      <c r="G116" s="33">
        <v>3</v>
      </c>
      <c r="H116" s="109">
        <v>1438.7</v>
      </c>
      <c r="I116" s="109">
        <v>864.1</v>
      </c>
      <c r="J116" s="109">
        <v>726.6</v>
      </c>
      <c r="K116" s="268">
        <v>34</v>
      </c>
      <c r="L116" s="33" t="s">
        <v>489</v>
      </c>
      <c r="M116" s="37">
        <v>1940033.01</v>
      </c>
      <c r="N116" s="109"/>
      <c r="O116" s="109"/>
      <c r="P116" s="114"/>
      <c r="Q116" s="37">
        <v>1940033.01</v>
      </c>
      <c r="R116" s="110">
        <f t="shared" si="10"/>
        <v>2245.1487212128227</v>
      </c>
      <c r="S116" s="29">
        <v>14736.15</v>
      </c>
      <c r="T116" s="24" t="s">
        <v>1359</v>
      </c>
      <c r="U116" s="83">
        <v>6.3</v>
      </c>
      <c r="V116" s="296">
        <v>2018</v>
      </c>
    </row>
    <row r="117" spans="1:22" s="2" customFormat="1" ht="33" customHeight="1">
      <c r="A117" s="70">
        <v>65</v>
      </c>
      <c r="B117" s="82" t="s">
        <v>204</v>
      </c>
      <c r="C117" s="62">
        <v>1981</v>
      </c>
      <c r="D117" s="62"/>
      <c r="E117" s="24" t="s">
        <v>374</v>
      </c>
      <c r="F117" s="62">
        <v>2</v>
      </c>
      <c r="G117" s="62">
        <v>3</v>
      </c>
      <c r="H117" s="63">
        <v>1221.2</v>
      </c>
      <c r="I117" s="63">
        <v>1083.9</v>
      </c>
      <c r="J117" s="63">
        <v>1011.9</v>
      </c>
      <c r="K117" s="267">
        <v>46</v>
      </c>
      <c r="L117" s="33" t="s">
        <v>489</v>
      </c>
      <c r="M117" s="37">
        <v>2377506.34</v>
      </c>
      <c r="N117" s="37"/>
      <c r="O117" s="109"/>
      <c r="P117" s="114"/>
      <c r="Q117" s="37">
        <v>2377506.34</v>
      </c>
      <c r="R117" s="110">
        <f t="shared" si="10"/>
        <v>2193.473881354368</v>
      </c>
      <c r="S117" s="29">
        <v>14736.15</v>
      </c>
      <c r="T117" s="24" t="s">
        <v>1359</v>
      </c>
      <c r="U117" s="83">
        <v>6.3</v>
      </c>
      <c r="V117" s="296">
        <v>2018</v>
      </c>
    </row>
    <row r="118" spans="1:22" s="2" customFormat="1" ht="29.25" customHeight="1">
      <c r="A118" s="70">
        <v>66</v>
      </c>
      <c r="B118" s="82" t="s">
        <v>843</v>
      </c>
      <c r="C118" s="33">
        <v>1983</v>
      </c>
      <c r="D118" s="33"/>
      <c r="E118" s="33" t="s">
        <v>374</v>
      </c>
      <c r="F118" s="33">
        <v>2</v>
      </c>
      <c r="G118" s="33">
        <v>3</v>
      </c>
      <c r="H118" s="109">
        <v>932.7</v>
      </c>
      <c r="I118" s="109">
        <v>843.4</v>
      </c>
      <c r="J118" s="109">
        <v>709.5</v>
      </c>
      <c r="K118" s="268">
        <v>39</v>
      </c>
      <c r="L118" s="33" t="s">
        <v>489</v>
      </c>
      <c r="M118" s="37">
        <v>867900.12</v>
      </c>
      <c r="N118" s="109"/>
      <c r="O118" s="109"/>
      <c r="P118" s="114"/>
      <c r="Q118" s="37">
        <v>867900.12</v>
      </c>
      <c r="R118" s="110">
        <f t="shared" si="10"/>
        <v>1029.049229309936</v>
      </c>
      <c r="S118" s="29">
        <v>14736.15</v>
      </c>
      <c r="T118" s="24" t="s">
        <v>1359</v>
      </c>
      <c r="U118" s="83">
        <v>6.3</v>
      </c>
      <c r="V118" s="296">
        <v>2018</v>
      </c>
    </row>
    <row r="119" spans="1:22" s="2" customFormat="1" ht="15">
      <c r="A119" s="70"/>
      <c r="B119" s="112" t="s">
        <v>952</v>
      </c>
      <c r="C119" s="24"/>
      <c r="D119" s="24"/>
      <c r="E119" s="24"/>
      <c r="F119" s="24"/>
      <c r="G119" s="24"/>
      <c r="H119" s="81">
        <f>SUM(H108:H118)</f>
        <v>8481</v>
      </c>
      <c r="I119" s="81">
        <f>SUM(I108:I118)</f>
        <v>7241.4</v>
      </c>
      <c r="J119" s="81">
        <f>SUM(J108:J118)</f>
        <v>6719</v>
      </c>
      <c r="K119" s="98">
        <f>SUM(K108:K118)</f>
        <v>312</v>
      </c>
      <c r="L119" s="81"/>
      <c r="M119" s="81">
        <f>SUM(M108:M118)</f>
        <v>12103951.089999998</v>
      </c>
      <c r="N119" s="81"/>
      <c r="O119" s="81"/>
      <c r="P119" s="81"/>
      <c r="Q119" s="81">
        <f>SUM(Q108:Q118)</f>
        <v>12103951.089999998</v>
      </c>
      <c r="R119" s="115">
        <f t="shared" si="10"/>
        <v>1671.493231971718</v>
      </c>
      <c r="S119" s="29"/>
      <c r="T119" s="76"/>
      <c r="U119" s="85"/>
      <c r="V119" s="296"/>
    </row>
    <row r="120" spans="1:22" s="2" customFormat="1" ht="15">
      <c r="A120" s="300" t="s">
        <v>1376</v>
      </c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  <c r="L120" s="301"/>
      <c r="M120" s="301"/>
      <c r="N120" s="301"/>
      <c r="O120" s="301"/>
      <c r="P120" s="301"/>
      <c r="Q120" s="302"/>
      <c r="R120" s="301"/>
      <c r="S120" s="301"/>
      <c r="T120" s="301"/>
      <c r="U120" s="303"/>
      <c r="V120" s="296"/>
    </row>
    <row r="121" spans="1:22" s="2" customFormat="1" ht="30" customHeight="1">
      <c r="A121" s="70">
        <v>67</v>
      </c>
      <c r="B121" s="82" t="s">
        <v>1060</v>
      </c>
      <c r="C121" s="24">
        <v>1979</v>
      </c>
      <c r="D121" s="24"/>
      <c r="E121" s="24" t="s">
        <v>374</v>
      </c>
      <c r="F121" s="24">
        <v>2</v>
      </c>
      <c r="G121" s="24">
        <v>3</v>
      </c>
      <c r="H121" s="37">
        <v>1013.3</v>
      </c>
      <c r="I121" s="37">
        <v>928.3</v>
      </c>
      <c r="J121" s="37">
        <v>784.6</v>
      </c>
      <c r="K121" s="36">
        <v>48</v>
      </c>
      <c r="L121" s="24" t="s">
        <v>489</v>
      </c>
      <c r="M121" s="37">
        <v>856593.6</v>
      </c>
      <c r="N121" s="37"/>
      <c r="O121" s="37"/>
      <c r="P121" s="37"/>
      <c r="Q121" s="37">
        <v>856593.6</v>
      </c>
      <c r="R121" s="29">
        <f aca="true" t="shared" si="11" ref="R121:R143">M121/I121</f>
        <v>922.7551438112679</v>
      </c>
      <c r="S121" s="29">
        <v>14736.15</v>
      </c>
      <c r="T121" s="24" t="s">
        <v>1359</v>
      </c>
      <c r="U121" s="83">
        <v>6.3</v>
      </c>
      <c r="V121" s="296">
        <v>2018</v>
      </c>
    </row>
    <row r="122" spans="1:22" s="2" customFormat="1" ht="45">
      <c r="A122" s="70">
        <v>68</v>
      </c>
      <c r="B122" s="82" t="s">
        <v>1061</v>
      </c>
      <c r="C122" s="24">
        <v>1970</v>
      </c>
      <c r="D122" s="24"/>
      <c r="E122" s="24" t="s">
        <v>374</v>
      </c>
      <c r="F122" s="24">
        <v>2</v>
      </c>
      <c r="G122" s="24">
        <v>2</v>
      </c>
      <c r="H122" s="37">
        <v>843.7</v>
      </c>
      <c r="I122" s="37">
        <v>774.1</v>
      </c>
      <c r="J122" s="37">
        <v>676.7</v>
      </c>
      <c r="K122" s="36">
        <v>34</v>
      </c>
      <c r="L122" s="24" t="s">
        <v>489</v>
      </c>
      <c r="M122" s="37">
        <v>1414932.33</v>
      </c>
      <c r="N122" s="37"/>
      <c r="O122" s="37"/>
      <c r="P122" s="37"/>
      <c r="Q122" s="37">
        <v>1414932.33</v>
      </c>
      <c r="R122" s="29">
        <f t="shared" si="11"/>
        <v>1827.8417904663481</v>
      </c>
      <c r="S122" s="29">
        <v>14736.15</v>
      </c>
      <c r="T122" s="24" t="s">
        <v>1359</v>
      </c>
      <c r="U122" s="83">
        <v>6.3</v>
      </c>
      <c r="V122" s="296">
        <v>2018</v>
      </c>
    </row>
    <row r="123" spans="1:22" s="2" customFormat="1" ht="45">
      <c r="A123" s="70">
        <v>69</v>
      </c>
      <c r="B123" s="82" t="s">
        <v>1062</v>
      </c>
      <c r="C123" s="24">
        <v>1977</v>
      </c>
      <c r="D123" s="24"/>
      <c r="E123" s="24" t="s">
        <v>494</v>
      </c>
      <c r="F123" s="24">
        <v>3</v>
      </c>
      <c r="G123" s="24">
        <v>5</v>
      </c>
      <c r="H123" s="37">
        <v>2762.8</v>
      </c>
      <c r="I123" s="37">
        <v>2521.4</v>
      </c>
      <c r="J123" s="37">
        <v>2295.6</v>
      </c>
      <c r="K123" s="36">
        <v>125</v>
      </c>
      <c r="L123" s="24" t="s">
        <v>489</v>
      </c>
      <c r="M123" s="37">
        <v>1580488.46</v>
      </c>
      <c r="N123" s="37"/>
      <c r="O123" s="37"/>
      <c r="P123" s="37"/>
      <c r="Q123" s="37">
        <v>1580488.46</v>
      </c>
      <c r="R123" s="29">
        <f t="shared" si="11"/>
        <v>626.8297215832474</v>
      </c>
      <c r="S123" s="29">
        <v>14736.15</v>
      </c>
      <c r="T123" s="24" t="s">
        <v>1359</v>
      </c>
      <c r="U123" s="83">
        <v>6.3</v>
      </c>
      <c r="V123" s="296">
        <v>2018</v>
      </c>
    </row>
    <row r="124" spans="1:22" s="2" customFormat="1" ht="45">
      <c r="A124" s="70">
        <v>70</v>
      </c>
      <c r="B124" s="82" t="s">
        <v>1063</v>
      </c>
      <c r="C124" s="24">
        <v>1979</v>
      </c>
      <c r="D124" s="24"/>
      <c r="E124" s="24" t="s">
        <v>494</v>
      </c>
      <c r="F124" s="24">
        <v>3</v>
      </c>
      <c r="G124" s="24">
        <v>3</v>
      </c>
      <c r="H124" s="37">
        <v>1653.5</v>
      </c>
      <c r="I124" s="37">
        <v>1508.5</v>
      </c>
      <c r="J124" s="37">
        <v>1356.7</v>
      </c>
      <c r="K124" s="36">
        <v>78</v>
      </c>
      <c r="L124" s="24" t="s">
        <v>489</v>
      </c>
      <c r="M124" s="37">
        <v>958281.7676</v>
      </c>
      <c r="N124" s="37"/>
      <c r="O124" s="37"/>
      <c r="P124" s="37"/>
      <c r="Q124" s="37">
        <v>958281.7676</v>
      </c>
      <c r="R124" s="29">
        <f t="shared" si="11"/>
        <v>635.2547349022208</v>
      </c>
      <c r="S124" s="29">
        <v>14736.15</v>
      </c>
      <c r="T124" s="24" t="s">
        <v>1359</v>
      </c>
      <c r="U124" s="83">
        <v>6.3</v>
      </c>
      <c r="V124" s="296">
        <v>2018</v>
      </c>
    </row>
    <row r="125" spans="1:22" s="2" customFormat="1" ht="45">
      <c r="A125" s="70">
        <v>71</v>
      </c>
      <c r="B125" s="82" t="s">
        <v>1064</v>
      </c>
      <c r="C125" s="24">
        <v>1980</v>
      </c>
      <c r="D125" s="24"/>
      <c r="E125" s="24" t="s">
        <v>494</v>
      </c>
      <c r="F125" s="24">
        <v>3</v>
      </c>
      <c r="G125" s="24">
        <v>5</v>
      </c>
      <c r="H125" s="37">
        <v>2677.3</v>
      </c>
      <c r="I125" s="37">
        <v>2479.8</v>
      </c>
      <c r="J125" s="37">
        <v>2170</v>
      </c>
      <c r="K125" s="36">
        <v>137</v>
      </c>
      <c r="L125" s="24" t="s">
        <v>489</v>
      </c>
      <c r="M125" s="37">
        <v>1582057.75</v>
      </c>
      <c r="N125" s="37"/>
      <c r="O125" s="37"/>
      <c r="P125" s="37"/>
      <c r="Q125" s="37">
        <v>1582057.75</v>
      </c>
      <c r="R125" s="29">
        <f t="shared" si="11"/>
        <v>637.9779619324139</v>
      </c>
      <c r="S125" s="29">
        <v>14736.15</v>
      </c>
      <c r="T125" s="24" t="s">
        <v>1359</v>
      </c>
      <c r="U125" s="83">
        <v>6.3</v>
      </c>
      <c r="V125" s="296">
        <v>2018</v>
      </c>
    </row>
    <row r="126" spans="1:22" s="2" customFormat="1" ht="45">
      <c r="A126" s="70">
        <v>72</v>
      </c>
      <c r="B126" s="107" t="s">
        <v>170</v>
      </c>
      <c r="C126" s="24">
        <v>1972</v>
      </c>
      <c r="D126" s="24"/>
      <c r="E126" s="24" t="s">
        <v>374</v>
      </c>
      <c r="F126" s="24">
        <v>5</v>
      </c>
      <c r="G126" s="24">
        <v>4</v>
      </c>
      <c r="H126" s="37">
        <v>3268</v>
      </c>
      <c r="I126" s="37">
        <v>3090.4</v>
      </c>
      <c r="J126" s="37">
        <v>2682</v>
      </c>
      <c r="K126" s="36">
        <v>157</v>
      </c>
      <c r="L126" s="24" t="s">
        <v>498</v>
      </c>
      <c r="M126" s="37">
        <v>1153508.29</v>
      </c>
      <c r="N126" s="37"/>
      <c r="O126" s="37"/>
      <c r="P126" s="37"/>
      <c r="Q126" s="37">
        <v>1153508.29</v>
      </c>
      <c r="R126" s="29">
        <f t="shared" si="11"/>
        <v>373.25533587885064</v>
      </c>
      <c r="S126" s="29">
        <v>14736.15</v>
      </c>
      <c r="T126" s="24" t="s">
        <v>1359</v>
      </c>
      <c r="U126" s="83">
        <v>6.3</v>
      </c>
      <c r="V126" s="296">
        <v>2018</v>
      </c>
    </row>
    <row r="127" spans="1:22" s="2" customFormat="1" ht="45">
      <c r="A127" s="70">
        <v>73</v>
      </c>
      <c r="B127" s="82" t="s">
        <v>1180</v>
      </c>
      <c r="C127" s="24">
        <v>1965</v>
      </c>
      <c r="D127" s="24"/>
      <c r="E127" s="24" t="s">
        <v>374</v>
      </c>
      <c r="F127" s="24">
        <v>3</v>
      </c>
      <c r="G127" s="24">
        <v>3</v>
      </c>
      <c r="H127" s="37">
        <v>2134.1</v>
      </c>
      <c r="I127" s="37">
        <v>2024.1</v>
      </c>
      <c r="J127" s="37">
        <v>1878.7</v>
      </c>
      <c r="K127" s="36">
        <v>63</v>
      </c>
      <c r="L127" s="24" t="s">
        <v>498</v>
      </c>
      <c r="M127" s="37">
        <v>501243.23</v>
      </c>
      <c r="N127" s="37"/>
      <c r="O127" s="37"/>
      <c r="P127" s="37"/>
      <c r="Q127" s="37">
        <v>501243.23</v>
      </c>
      <c r="R127" s="29">
        <f t="shared" si="11"/>
        <v>247.63758213527</v>
      </c>
      <c r="S127" s="29">
        <v>14736.15</v>
      </c>
      <c r="T127" s="24" t="s">
        <v>1359</v>
      </c>
      <c r="U127" s="83">
        <v>6.3</v>
      </c>
      <c r="V127" s="296">
        <v>2018</v>
      </c>
    </row>
    <row r="128" spans="1:22" s="2" customFormat="1" ht="90">
      <c r="A128" s="70">
        <v>74</v>
      </c>
      <c r="B128" s="107" t="s">
        <v>1018</v>
      </c>
      <c r="C128" s="24">
        <v>1971</v>
      </c>
      <c r="D128" s="24"/>
      <c r="E128" s="24" t="s">
        <v>374</v>
      </c>
      <c r="F128" s="24">
        <v>2</v>
      </c>
      <c r="G128" s="24">
        <v>2</v>
      </c>
      <c r="H128" s="37">
        <v>752.3</v>
      </c>
      <c r="I128" s="37">
        <v>715</v>
      </c>
      <c r="J128" s="37">
        <v>663.1</v>
      </c>
      <c r="K128" s="36">
        <v>33</v>
      </c>
      <c r="L128" s="24" t="s">
        <v>1081</v>
      </c>
      <c r="M128" s="37">
        <v>1723100.17</v>
      </c>
      <c r="N128" s="37"/>
      <c r="O128" s="37"/>
      <c r="P128" s="37"/>
      <c r="Q128" s="37">
        <v>1723100.17</v>
      </c>
      <c r="R128" s="29">
        <f t="shared" si="11"/>
        <v>2409.9303076923075</v>
      </c>
      <c r="S128" s="29">
        <v>14736.15</v>
      </c>
      <c r="T128" s="24" t="s">
        <v>1359</v>
      </c>
      <c r="U128" s="83">
        <v>6.3</v>
      </c>
      <c r="V128" s="296">
        <v>2018</v>
      </c>
    </row>
    <row r="129" spans="1:22" s="2" customFormat="1" ht="45">
      <c r="A129" s="70">
        <v>75</v>
      </c>
      <c r="B129" s="107" t="s">
        <v>205</v>
      </c>
      <c r="C129" s="24">
        <v>1996</v>
      </c>
      <c r="D129" s="24"/>
      <c r="E129" s="24" t="s">
        <v>374</v>
      </c>
      <c r="F129" s="24">
        <v>3</v>
      </c>
      <c r="G129" s="24">
        <v>4</v>
      </c>
      <c r="H129" s="37">
        <v>2263.6</v>
      </c>
      <c r="I129" s="37">
        <v>2020.2</v>
      </c>
      <c r="J129" s="37">
        <v>1174.4</v>
      </c>
      <c r="K129" s="36">
        <v>56</v>
      </c>
      <c r="L129" s="24" t="s">
        <v>498</v>
      </c>
      <c r="M129" s="37">
        <v>799222.5886</v>
      </c>
      <c r="N129" s="37"/>
      <c r="O129" s="37"/>
      <c r="P129" s="37"/>
      <c r="Q129" s="37">
        <v>799222.5886</v>
      </c>
      <c r="R129" s="29">
        <f t="shared" si="11"/>
        <v>395.61557697257695</v>
      </c>
      <c r="S129" s="29">
        <v>14736.15</v>
      </c>
      <c r="T129" s="24" t="s">
        <v>1359</v>
      </c>
      <c r="U129" s="83">
        <v>6.3</v>
      </c>
      <c r="V129" s="296">
        <v>2018</v>
      </c>
    </row>
    <row r="130" spans="1:22" s="2" customFormat="1" ht="45">
      <c r="A130" s="70">
        <v>76</v>
      </c>
      <c r="B130" s="107" t="s">
        <v>206</v>
      </c>
      <c r="C130" s="24">
        <v>1995</v>
      </c>
      <c r="D130" s="24"/>
      <c r="E130" s="24" t="s">
        <v>494</v>
      </c>
      <c r="F130" s="24">
        <v>5</v>
      </c>
      <c r="G130" s="24">
        <v>5</v>
      </c>
      <c r="H130" s="37">
        <v>6244.96</v>
      </c>
      <c r="I130" s="37">
        <v>5577.86</v>
      </c>
      <c r="J130" s="37">
        <v>4981.76</v>
      </c>
      <c r="K130" s="36">
        <v>295</v>
      </c>
      <c r="L130" s="24" t="s">
        <v>498</v>
      </c>
      <c r="M130" s="37">
        <v>1546139.77</v>
      </c>
      <c r="N130" s="37"/>
      <c r="O130" s="37"/>
      <c r="P130" s="37"/>
      <c r="Q130" s="37">
        <v>1546139.77</v>
      </c>
      <c r="R130" s="29">
        <f t="shared" si="11"/>
        <v>277.1922870061278</v>
      </c>
      <c r="S130" s="29">
        <v>14736.15</v>
      </c>
      <c r="T130" s="24" t="s">
        <v>1359</v>
      </c>
      <c r="U130" s="83">
        <v>6.3</v>
      </c>
      <c r="V130" s="296">
        <v>2018</v>
      </c>
    </row>
    <row r="131" spans="1:22" s="2" customFormat="1" ht="75">
      <c r="A131" s="70">
        <v>77</v>
      </c>
      <c r="B131" s="107" t="s">
        <v>207</v>
      </c>
      <c r="C131" s="24">
        <v>1983</v>
      </c>
      <c r="D131" s="24"/>
      <c r="E131" s="24" t="s">
        <v>374</v>
      </c>
      <c r="F131" s="24">
        <v>5</v>
      </c>
      <c r="G131" s="24">
        <v>3</v>
      </c>
      <c r="H131" s="37">
        <v>3195.17</v>
      </c>
      <c r="I131" s="37">
        <v>2766.87</v>
      </c>
      <c r="J131" s="37">
        <v>2381.15</v>
      </c>
      <c r="K131" s="36">
        <v>162</v>
      </c>
      <c r="L131" s="24" t="s">
        <v>71</v>
      </c>
      <c r="M131" s="37">
        <v>1709883.4</v>
      </c>
      <c r="N131" s="37"/>
      <c r="O131" s="37"/>
      <c r="P131" s="37"/>
      <c r="Q131" s="37">
        <v>1709883.4</v>
      </c>
      <c r="R131" s="29">
        <f t="shared" si="11"/>
        <v>617.9847264237206</v>
      </c>
      <c r="S131" s="29">
        <v>14736.15</v>
      </c>
      <c r="T131" s="24" t="s">
        <v>1359</v>
      </c>
      <c r="U131" s="83">
        <v>6.3</v>
      </c>
      <c r="V131" s="296">
        <v>2018</v>
      </c>
    </row>
    <row r="132" spans="1:22" s="2" customFormat="1" ht="45">
      <c r="A132" s="70">
        <v>78</v>
      </c>
      <c r="B132" s="107" t="s">
        <v>208</v>
      </c>
      <c r="C132" s="24">
        <v>1977</v>
      </c>
      <c r="D132" s="24"/>
      <c r="E132" s="24" t="s">
        <v>374</v>
      </c>
      <c r="F132" s="24">
        <v>2</v>
      </c>
      <c r="G132" s="24">
        <v>3</v>
      </c>
      <c r="H132" s="37">
        <v>924.2</v>
      </c>
      <c r="I132" s="37">
        <v>848.1</v>
      </c>
      <c r="J132" s="37">
        <v>455.9</v>
      </c>
      <c r="K132" s="36">
        <v>43</v>
      </c>
      <c r="L132" s="24" t="s">
        <v>209</v>
      </c>
      <c r="M132" s="37">
        <v>293491.58</v>
      </c>
      <c r="N132" s="37"/>
      <c r="O132" s="37"/>
      <c r="P132" s="37"/>
      <c r="Q132" s="37">
        <v>293491.58</v>
      </c>
      <c r="R132" s="29">
        <f t="shared" si="11"/>
        <v>346.05775262351136</v>
      </c>
      <c r="S132" s="29">
        <v>14736.15</v>
      </c>
      <c r="T132" s="24" t="s">
        <v>1359</v>
      </c>
      <c r="U132" s="83">
        <v>6.3</v>
      </c>
      <c r="V132" s="296">
        <v>2018</v>
      </c>
    </row>
    <row r="133" spans="1:22" s="2" customFormat="1" ht="45">
      <c r="A133" s="70">
        <v>79</v>
      </c>
      <c r="B133" s="107" t="s">
        <v>210</v>
      </c>
      <c r="C133" s="24">
        <v>1983</v>
      </c>
      <c r="D133" s="24"/>
      <c r="E133" s="24" t="s">
        <v>374</v>
      </c>
      <c r="F133" s="24">
        <v>3</v>
      </c>
      <c r="G133" s="24">
        <v>1</v>
      </c>
      <c r="H133" s="37">
        <v>1637.15</v>
      </c>
      <c r="I133" s="37">
        <v>1231.95</v>
      </c>
      <c r="J133" s="37">
        <v>891.8</v>
      </c>
      <c r="K133" s="36">
        <v>87</v>
      </c>
      <c r="L133" s="24" t="s">
        <v>498</v>
      </c>
      <c r="M133" s="37">
        <v>640590.73</v>
      </c>
      <c r="N133" s="37"/>
      <c r="O133" s="37"/>
      <c r="P133" s="37"/>
      <c r="Q133" s="37">
        <v>640590.73</v>
      </c>
      <c r="R133" s="29">
        <f t="shared" si="11"/>
        <v>519.981111246398</v>
      </c>
      <c r="S133" s="29">
        <v>14736.15</v>
      </c>
      <c r="T133" s="24" t="s">
        <v>1359</v>
      </c>
      <c r="U133" s="83">
        <v>6.3</v>
      </c>
      <c r="V133" s="296">
        <v>2018</v>
      </c>
    </row>
    <row r="134" spans="1:22" s="2" customFormat="1" ht="45">
      <c r="A134" s="70">
        <v>80</v>
      </c>
      <c r="B134" s="107" t="s">
        <v>211</v>
      </c>
      <c r="C134" s="24">
        <v>1979</v>
      </c>
      <c r="D134" s="24"/>
      <c r="E134" s="24" t="s">
        <v>374</v>
      </c>
      <c r="F134" s="24">
        <v>3</v>
      </c>
      <c r="G134" s="24">
        <v>1</v>
      </c>
      <c r="H134" s="37">
        <v>1641.75</v>
      </c>
      <c r="I134" s="37">
        <v>1205.05</v>
      </c>
      <c r="J134" s="37">
        <v>980.8</v>
      </c>
      <c r="K134" s="36">
        <v>100</v>
      </c>
      <c r="L134" s="24" t="s">
        <v>498</v>
      </c>
      <c r="M134" s="37">
        <v>596761.84</v>
      </c>
      <c r="N134" s="37"/>
      <c r="O134" s="37"/>
      <c r="P134" s="37"/>
      <c r="Q134" s="37">
        <v>596761.84</v>
      </c>
      <c r="R134" s="29">
        <f t="shared" si="11"/>
        <v>495.2174930500809</v>
      </c>
      <c r="S134" s="29">
        <v>14736.15</v>
      </c>
      <c r="T134" s="24" t="s">
        <v>1359</v>
      </c>
      <c r="U134" s="83">
        <v>6.3</v>
      </c>
      <c r="V134" s="296">
        <v>2018</v>
      </c>
    </row>
    <row r="135" spans="1:22" s="2" customFormat="1" ht="45">
      <c r="A135" s="70">
        <v>81</v>
      </c>
      <c r="B135" s="107" t="s">
        <v>212</v>
      </c>
      <c r="C135" s="24">
        <v>1981</v>
      </c>
      <c r="D135" s="24"/>
      <c r="E135" s="24" t="s">
        <v>374</v>
      </c>
      <c r="F135" s="24">
        <v>2</v>
      </c>
      <c r="G135" s="24">
        <v>3</v>
      </c>
      <c r="H135" s="37">
        <v>931.7</v>
      </c>
      <c r="I135" s="37">
        <v>832.5</v>
      </c>
      <c r="J135" s="37">
        <v>678.6</v>
      </c>
      <c r="K135" s="36">
        <v>57</v>
      </c>
      <c r="L135" s="24" t="s">
        <v>498</v>
      </c>
      <c r="M135" s="37">
        <v>384456.47</v>
      </c>
      <c r="N135" s="37"/>
      <c r="O135" s="37"/>
      <c r="P135" s="37"/>
      <c r="Q135" s="37">
        <v>384456.47</v>
      </c>
      <c r="R135" s="29">
        <f t="shared" si="11"/>
        <v>461.8095735735735</v>
      </c>
      <c r="S135" s="29">
        <v>14736.15</v>
      </c>
      <c r="T135" s="24" t="s">
        <v>1359</v>
      </c>
      <c r="U135" s="83">
        <v>6.3</v>
      </c>
      <c r="V135" s="296">
        <v>2018</v>
      </c>
    </row>
    <row r="136" spans="1:22" s="2" customFormat="1" ht="45">
      <c r="A136" s="70">
        <v>82</v>
      </c>
      <c r="B136" s="107" t="s">
        <v>213</v>
      </c>
      <c r="C136" s="24">
        <v>1981</v>
      </c>
      <c r="D136" s="24"/>
      <c r="E136" s="24" t="s">
        <v>374</v>
      </c>
      <c r="F136" s="24">
        <v>2</v>
      </c>
      <c r="G136" s="24">
        <v>2</v>
      </c>
      <c r="H136" s="37">
        <v>607.9</v>
      </c>
      <c r="I136" s="37">
        <v>558.9</v>
      </c>
      <c r="J136" s="37">
        <v>513.2</v>
      </c>
      <c r="K136" s="36">
        <v>40</v>
      </c>
      <c r="L136" s="24" t="s">
        <v>498</v>
      </c>
      <c r="M136" s="37">
        <v>283282.18</v>
      </c>
      <c r="N136" s="37"/>
      <c r="O136" s="37"/>
      <c r="P136" s="37"/>
      <c r="Q136" s="37">
        <v>283282.18</v>
      </c>
      <c r="R136" s="29">
        <f t="shared" si="11"/>
        <v>506.8566469851494</v>
      </c>
      <c r="S136" s="29">
        <v>14736.15</v>
      </c>
      <c r="T136" s="24" t="s">
        <v>1359</v>
      </c>
      <c r="U136" s="83">
        <v>6.3</v>
      </c>
      <c r="V136" s="296">
        <v>2018</v>
      </c>
    </row>
    <row r="137" spans="1:22" s="2" customFormat="1" ht="45">
      <c r="A137" s="70">
        <v>83</v>
      </c>
      <c r="B137" s="107" t="s">
        <v>214</v>
      </c>
      <c r="C137" s="24">
        <v>1996</v>
      </c>
      <c r="D137" s="24"/>
      <c r="E137" s="24" t="s">
        <v>494</v>
      </c>
      <c r="F137" s="24">
        <v>5</v>
      </c>
      <c r="G137" s="24">
        <v>3</v>
      </c>
      <c r="H137" s="37">
        <v>3651</v>
      </c>
      <c r="I137" s="37">
        <v>3264.6</v>
      </c>
      <c r="J137" s="37">
        <v>2891.6</v>
      </c>
      <c r="K137" s="36">
        <v>133</v>
      </c>
      <c r="L137" s="24" t="s">
        <v>209</v>
      </c>
      <c r="M137" s="37">
        <v>704019.96</v>
      </c>
      <c r="N137" s="37"/>
      <c r="O137" s="37"/>
      <c r="P137" s="37"/>
      <c r="Q137" s="37">
        <v>704019.96</v>
      </c>
      <c r="R137" s="29">
        <f t="shared" si="11"/>
        <v>215.65274765668076</v>
      </c>
      <c r="S137" s="29">
        <v>14736.15</v>
      </c>
      <c r="T137" s="24" t="s">
        <v>1359</v>
      </c>
      <c r="U137" s="83">
        <v>6.3</v>
      </c>
      <c r="V137" s="296">
        <v>2018</v>
      </c>
    </row>
    <row r="138" spans="1:22" s="2" customFormat="1" ht="45">
      <c r="A138" s="70">
        <v>84</v>
      </c>
      <c r="B138" s="107" t="s">
        <v>215</v>
      </c>
      <c r="C138" s="24">
        <v>1970</v>
      </c>
      <c r="D138" s="24"/>
      <c r="E138" s="24" t="s">
        <v>374</v>
      </c>
      <c r="F138" s="24">
        <v>2</v>
      </c>
      <c r="G138" s="24">
        <v>2</v>
      </c>
      <c r="H138" s="37">
        <v>759.9</v>
      </c>
      <c r="I138" s="37">
        <v>732.4</v>
      </c>
      <c r="J138" s="37">
        <v>622.6</v>
      </c>
      <c r="K138" s="36">
        <v>46</v>
      </c>
      <c r="L138" s="24" t="s">
        <v>498</v>
      </c>
      <c r="M138" s="37">
        <v>359675.06</v>
      </c>
      <c r="N138" s="37"/>
      <c r="O138" s="37"/>
      <c r="P138" s="37"/>
      <c r="Q138" s="37">
        <v>359675.06</v>
      </c>
      <c r="R138" s="29">
        <f t="shared" si="11"/>
        <v>491.09101583833973</v>
      </c>
      <c r="S138" s="29">
        <v>14736.15</v>
      </c>
      <c r="T138" s="24" t="s">
        <v>1359</v>
      </c>
      <c r="U138" s="83">
        <v>6.3</v>
      </c>
      <c r="V138" s="296">
        <v>2018</v>
      </c>
    </row>
    <row r="139" spans="1:22" s="2" customFormat="1" ht="45">
      <c r="A139" s="70">
        <v>85</v>
      </c>
      <c r="B139" s="107" t="s">
        <v>216</v>
      </c>
      <c r="C139" s="24">
        <v>1973</v>
      </c>
      <c r="D139" s="24"/>
      <c r="E139" s="24" t="s">
        <v>374</v>
      </c>
      <c r="F139" s="24">
        <v>2</v>
      </c>
      <c r="G139" s="24">
        <v>2</v>
      </c>
      <c r="H139" s="37">
        <v>843.3</v>
      </c>
      <c r="I139" s="37">
        <v>771.3</v>
      </c>
      <c r="J139" s="37">
        <v>407.7</v>
      </c>
      <c r="K139" s="36">
        <v>34</v>
      </c>
      <c r="L139" s="24" t="s">
        <v>498</v>
      </c>
      <c r="M139" s="37">
        <v>360346.73</v>
      </c>
      <c r="N139" s="37"/>
      <c r="O139" s="37"/>
      <c r="P139" s="37"/>
      <c r="Q139" s="37">
        <v>360346.73</v>
      </c>
      <c r="R139" s="29">
        <f t="shared" si="11"/>
        <v>467.19399714767275</v>
      </c>
      <c r="S139" s="29">
        <v>14736.15</v>
      </c>
      <c r="T139" s="24" t="s">
        <v>1359</v>
      </c>
      <c r="U139" s="83">
        <v>6.3</v>
      </c>
      <c r="V139" s="296">
        <v>2018</v>
      </c>
    </row>
    <row r="140" spans="1:22" s="2" customFormat="1" ht="45">
      <c r="A140" s="70">
        <v>86</v>
      </c>
      <c r="B140" s="107" t="s">
        <v>217</v>
      </c>
      <c r="C140" s="24">
        <v>1973</v>
      </c>
      <c r="D140" s="24"/>
      <c r="E140" s="24" t="s">
        <v>374</v>
      </c>
      <c r="F140" s="24">
        <v>2</v>
      </c>
      <c r="G140" s="24">
        <v>2</v>
      </c>
      <c r="H140" s="37">
        <v>768.9</v>
      </c>
      <c r="I140" s="37">
        <v>741.4</v>
      </c>
      <c r="J140" s="37">
        <v>672.8</v>
      </c>
      <c r="K140" s="36">
        <v>30</v>
      </c>
      <c r="L140" s="24" t="s">
        <v>498</v>
      </c>
      <c r="M140" s="37">
        <v>389052.16</v>
      </c>
      <c r="N140" s="37"/>
      <c r="O140" s="37"/>
      <c r="P140" s="37"/>
      <c r="Q140" s="37">
        <v>389052.16</v>
      </c>
      <c r="R140" s="29">
        <f t="shared" si="11"/>
        <v>524.7533854869166</v>
      </c>
      <c r="S140" s="29">
        <v>14736.15</v>
      </c>
      <c r="T140" s="24" t="s">
        <v>1359</v>
      </c>
      <c r="U140" s="83">
        <v>6.3</v>
      </c>
      <c r="V140" s="296">
        <v>2018</v>
      </c>
    </row>
    <row r="141" spans="1:22" s="2" customFormat="1" ht="45">
      <c r="A141" s="70">
        <v>87</v>
      </c>
      <c r="B141" s="34" t="s">
        <v>218</v>
      </c>
      <c r="C141" s="24">
        <v>1993</v>
      </c>
      <c r="D141" s="24"/>
      <c r="E141" s="24" t="s">
        <v>494</v>
      </c>
      <c r="F141" s="24">
        <v>5</v>
      </c>
      <c r="G141" s="24">
        <v>3</v>
      </c>
      <c r="H141" s="37">
        <v>3658.5</v>
      </c>
      <c r="I141" s="37">
        <v>3291</v>
      </c>
      <c r="J141" s="37">
        <v>2876</v>
      </c>
      <c r="K141" s="36">
        <v>164</v>
      </c>
      <c r="L141" s="24" t="s">
        <v>219</v>
      </c>
      <c r="M141" s="37">
        <v>1418592.8</v>
      </c>
      <c r="N141" s="37"/>
      <c r="O141" s="37"/>
      <c r="P141" s="37"/>
      <c r="Q141" s="37">
        <v>1418592.8</v>
      </c>
      <c r="R141" s="29">
        <f t="shared" si="11"/>
        <v>431.0522029778183</v>
      </c>
      <c r="S141" s="29">
        <v>14736.15</v>
      </c>
      <c r="T141" s="24" t="s">
        <v>1359</v>
      </c>
      <c r="U141" s="83">
        <v>6.3</v>
      </c>
      <c r="V141" s="296">
        <v>2018</v>
      </c>
    </row>
    <row r="142" spans="1:22" s="2" customFormat="1" ht="45">
      <c r="A142" s="70">
        <v>88</v>
      </c>
      <c r="B142" s="107" t="s">
        <v>220</v>
      </c>
      <c r="C142" s="24">
        <v>1989</v>
      </c>
      <c r="D142" s="24"/>
      <c r="E142" s="24" t="s">
        <v>494</v>
      </c>
      <c r="F142" s="24">
        <v>3</v>
      </c>
      <c r="G142" s="24">
        <v>2</v>
      </c>
      <c r="H142" s="37">
        <v>1489.83</v>
      </c>
      <c r="I142" s="37">
        <v>1333.83</v>
      </c>
      <c r="J142" s="37">
        <v>1286.35</v>
      </c>
      <c r="K142" s="36">
        <v>87</v>
      </c>
      <c r="L142" s="24" t="s">
        <v>498</v>
      </c>
      <c r="M142" s="37">
        <v>608761.12</v>
      </c>
      <c r="N142" s="37"/>
      <c r="O142" s="37"/>
      <c r="P142" s="37"/>
      <c r="Q142" s="37">
        <v>608761.12</v>
      </c>
      <c r="R142" s="29">
        <f t="shared" si="11"/>
        <v>456.4008306905678</v>
      </c>
      <c r="S142" s="29">
        <v>14736.15</v>
      </c>
      <c r="T142" s="24" t="s">
        <v>1359</v>
      </c>
      <c r="U142" s="83">
        <v>6.3</v>
      </c>
      <c r="V142" s="296">
        <v>2018</v>
      </c>
    </row>
    <row r="143" spans="1:22" s="2" customFormat="1" ht="45">
      <c r="A143" s="70">
        <v>89</v>
      </c>
      <c r="B143" s="107" t="s">
        <v>221</v>
      </c>
      <c r="C143" s="24">
        <v>1986</v>
      </c>
      <c r="D143" s="24"/>
      <c r="E143" s="24" t="s">
        <v>494</v>
      </c>
      <c r="F143" s="24">
        <v>3</v>
      </c>
      <c r="G143" s="24">
        <v>2</v>
      </c>
      <c r="H143" s="37">
        <v>1482.25</v>
      </c>
      <c r="I143" s="37">
        <v>1330.15</v>
      </c>
      <c r="J143" s="37">
        <v>1246.7</v>
      </c>
      <c r="K143" s="36">
        <v>89</v>
      </c>
      <c r="L143" s="24" t="s">
        <v>498</v>
      </c>
      <c r="M143" s="37">
        <v>530066.69</v>
      </c>
      <c r="N143" s="37"/>
      <c r="O143" s="37"/>
      <c r="P143" s="37"/>
      <c r="Q143" s="37">
        <v>530066.69</v>
      </c>
      <c r="R143" s="29">
        <f t="shared" si="11"/>
        <v>398.50143968725325</v>
      </c>
      <c r="S143" s="29">
        <v>14736.15</v>
      </c>
      <c r="T143" s="24" t="s">
        <v>1359</v>
      </c>
      <c r="U143" s="83">
        <v>6.3</v>
      </c>
      <c r="V143" s="296">
        <v>2018</v>
      </c>
    </row>
    <row r="144" spans="1:22" s="2" customFormat="1" ht="15">
      <c r="A144" s="70"/>
      <c r="B144" s="112" t="s">
        <v>1268</v>
      </c>
      <c r="C144" s="24"/>
      <c r="D144" s="24"/>
      <c r="E144" s="24"/>
      <c r="F144" s="24"/>
      <c r="G144" s="24"/>
      <c r="H144" s="81">
        <f>SUM(H121:H143)</f>
        <v>45205.11000000001</v>
      </c>
      <c r="I144" s="81">
        <f>SUM(I121:I143)</f>
        <v>40547.71000000001</v>
      </c>
      <c r="J144" s="81">
        <f>SUM(J121:J143)</f>
        <v>34568.759999999995</v>
      </c>
      <c r="K144" s="98">
        <f>SUM(K121:K143)</f>
        <v>2098</v>
      </c>
      <c r="L144" s="81"/>
      <c r="M144" s="81">
        <f>SUM(M121:M143)</f>
        <v>20394548.676200002</v>
      </c>
      <c r="N144" s="81"/>
      <c r="O144" s="81"/>
      <c r="P144" s="81"/>
      <c r="Q144" s="81">
        <f>SUM(Q121:Q143)</f>
        <v>20394548.676200002</v>
      </c>
      <c r="R144" s="96">
        <f>M144/I144</f>
        <v>502.9765842805919</v>
      </c>
      <c r="S144" s="29"/>
      <c r="T144" s="76"/>
      <c r="U144" s="85"/>
      <c r="V144" s="296"/>
    </row>
    <row r="145" spans="1:22" s="2" customFormat="1" ht="15">
      <c r="A145" s="300" t="s">
        <v>766</v>
      </c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  <c r="L145" s="301"/>
      <c r="M145" s="301"/>
      <c r="N145" s="301"/>
      <c r="O145" s="301"/>
      <c r="P145" s="301"/>
      <c r="Q145" s="302"/>
      <c r="R145" s="301"/>
      <c r="S145" s="301"/>
      <c r="T145" s="301"/>
      <c r="U145" s="303"/>
      <c r="V145" s="296"/>
    </row>
    <row r="146" spans="1:22" s="2" customFormat="1" ht="45">
      <c r="A146" s="70">
        <v>90</v>
      </c>
      <c r="B146" s="107" t="s">
        <v>607</v>
      </c>
      <c r="C146" s="24">
        <v>1982</v>
      </c>
      <c r="D146" s="24">
        <v>2016</v>
      </c>
      <c r="E146" s="24" t="s">
        <v>374</v>
      </c>
      <c r="F146" s="24">
        <v>2</v>
      </c>
      <c r="G146" s="24">
        <v>3</v>
      </c>
      <c r="H146" s="37">
        <v>996.4</v>
      </c>
      <c r="I146" s="37">
        <v>912.07</v>
      </c>
      <c r="J146" s="37">
        <v>854.12</v>
      </c>
      <c r="K146" s="36">
        <v>24</v>
      </c>
      <c r="L146" s="24" t="s">
        <v>489</v>
      </c>
      <c r="M146" s="37">
        <v>2105666.81</v>
      </c>
      <c r="N146" s="37"/>
      <c r="O146" s="37"/>
      <c r="P146" s="37"/>
      <c r="Q146" s="37">
        <v>2105666.81</v>
      </c>
      <c r="R146" s="24">
        <v>460.52</v>
      </c>
      <c r="S146" s="29">
        <v>14736.15</v>
      </c>
      <c r="T146" s="24" t="s">
        <v>1359</v>
      </c>
      <c r="U146" s="83">
        <v>6.3</v>
      </c>
      <c r="V146" s="296">
        <v>2018</v>
      </c>
    </row>
    <row r="147" spans="1:22" s="2" customFormat="1" ht="15">
      <c r="A147" s="70"/>
      <c r="B147" s="112" t="s">
        <v>768</v>
      </c>
      <c r="C147" s="79"/>
      <c r="D147" s="79"/>
      <c r="E147" s="79"/>
      <c r="F147" s="79"/>
      <c r="G147" s="79"/>
      <c r="H147" s="81">
        <f>SUM(H146)</f>
        <v>996.4</v>
      </c>
      <c r="I147" s="81">
        <f aca="true" t="shared" si="12" ref="I147:Q147">SUM(I146)</f>
        <v>912.07</v>
      </c>
      <c r="J147" s="81">
        <f t="shared" si="12"/>
        <v>854.12</v>
      </c>
      <c r="K147" s="98">
        <f t="shared" si="12"/>
        <v>24</v>
      </c>
      <c r="L147" s="79"/>
      <c r="M147" s="81">
        <f t="shared" si="12"/>
        <v>2105666.81</v>
      </c>
      <c r="N147" s="96"/>
      <c r="O147" s="96"/>
      <c r="P147" s="96"/>
      <c r="Q147" s="81">
        <f t="shared" si="12"/>
        <v>2105666.81</v>
      </c>
      <c r="R147" s="79"/>
      <c r="S147" s="79"/>
      <c r="T147" s="79"/>
      <c r="U147" s="80"/>
      <c r="V147" s="296"/>
    </row>
    <row r="148" spans="1:22" s="2" customFormat="1" ht="15">
      <c r="A148" s="300" t="s">
        <v>767</v>
      </c>
      <c r="B148" s="301"/>
      <c r="C148" s="301"/>
      <c r="D148" s="301"/>
      <c r="E148" s="301"/>
      <c r="F148" s="301"/>
      <c r="G148" s="301"/>
      <c r="H148" s="301"/>
      <c r="I148" s="301"/>
      <c r="J148" s="301"/>
      <c r="K148" s="301"/>
      <c r="L148" s="301"/>
      <c r="M148" s="301"/>
      <c r="N148" s="301"/>
      <c r="O148" s="301"/>
      <c r="P148" s="301"/>
      <c r="Q148" s="302"/>
      <c r="R148" s="301"/>
      <c r="S148" s="301"/>
      <c r="T148" s="301"/>
      <c r="U148" s="303"/>
      <c r="V148" s="296"/>
    </row>
    <row r="149" spans="1:22" s="2" customFormat="1" ht="45">
      <c r="A149" s="70">
        <v>91</v>
      </c>
      <c r="B149" s="82" t="s">
        <v>1082</v>
      </c>
      <c r="C149" s="62">
        <v>1963</v>
      </c>
      <c r="D149" s="62"/>
      <c r="E149" s="62" t="s">
        <v>374</v>
      </c>
      <c r="F149" s="62">
        <v>2</v>
      </c>
      <c r="G149" s="62">
        <v>2</v>
      </c>
      <c r="H149" s="63">
        <v>414.1</v>
      </c>
      <c r="I149" s="63">
        <v>369.73</v>
      </c>
      <c r="J149" s="63">
        <v>369.73</v>
      </c>
      <c r="K149" s="267">
        <v>22</v>
      </c>
      <c r="L149" s="62" t="s">
        <v>489</v>
      </c>
      <c r="M149" s="37">
        <v>870888.47</v>
      </c>
      <c r="N149" s="65"/>
      <c r="O149" s="65"/>
      <c r="P149" s="65"/>
      <c r="Q149" s="37">
        <v>870888.47</v>
      </c>
      <c r="R149" s="24">
        <v>460.52</v>
      </c>
      <c r="S149" s="29">
        <v>14736.15</v>
      </c>
      <c r="T149" s="24" t="s">
        <v>1359</v>
      </c>
      <c r="U149" s="83">
        <v>6.3</v>
      </c>
      <c r="V149" s="296">
        <v>2018</v>
      </c>
    </row>
    <row r="150" spans="1:22" s="2" customFormat="1" ht="15">
      <c r="A150" s="78"/>
      <c r="B150" s="112" t="s">
        <v>768</v>
      </c>
      <c r="C150" s="79"/>
      <c r="D150" s="79"/>
      <c r="E150" s="79"/>
      <c r="F150" s="79"/>
      <c r="G150" s="79"/>
      <c r="H150" s="81">
        <f>SUM(H149)</f>
        <v>414.1</v>
      </c>
      <c r="I150" s="81">
        <f>SUM(I149)</f>
        <v>369.73</v>
      </c>
      <c r="J150" s="81">
        <f>SUM(J149)</f>
        <v>369.73</v>
      </c>
      <c r="K150" s="98">
        <f>SUM(K149)</f>
        <v>22</v>
      </c>
      <c r="L150" s="79"/>
      <c r="M150" s="81">
        <f>SUM(M149)</f>
        <v>870888.47</v>
      </c>
      <c r="N150" s="96"/>
      <c r="O150" s="96"/>
      <c r="P150" s="96"/>
      <c r="Q150" s="81">
        <f>SUM(Q149)</f>
        <v>870888.47</v>
      </c>
      <c r="R150" s="79">
        <v>460.52</v>
      </c>
      <c r="S150" s="79"/>
      <c r="T150" s="79"/>
      <c r="U150" s="80"/>
      <c r="V150" s="296"/>
    </row>
    <row r="151" spans="1:22" s="2" customFormat="1" ht="15">
      <c r="A151" s="300" t="s">
        <v>1365</v>
      </c>
      <c r="B151" s="301"/>
      <c r="C151" s="301"/>
      <c r="D151" s="301"/>
      <c r="E151" s="301"/>
      <c r="F151" s="301"/>
      <c r="G151" s="301"/>
      <c r="H151" s="301"/>
      <c r="I151" s="301"/>
      <c r="J151" s="301"/>
      <c r="K151" s="301"/>
      <c r="L151" s="301"/>
      <c r="M151" s="301"/>
      <c r="N151" s="301"/>
      <c r="O151" s="301"/>
      <c r="P151" s="301"/>
      <c r="Q151" s="301"/>
      <c r="R151" s="301"/>
      <c r="S151" s="301"/>
      <c r="T151" s="301"/>
      <c r="U151" s="303"/>
      <c r="V151" s="296"/>
    </row>
    <row r="152" spans="1:22" s="2" customFormat="1" ht="45">
      <c r="A152" s="70">
        <v>92</v>
      </c>
      <c r="B152" s="82" t="s">
        <v>1181</v>
      </c>
      <c r="C152" s="62">
        <v>1974</v>
      </c>
      <c r="D152" s="62">
        <v>2008</v>
      </c>
      <c r="E152" s="76" t="s">
        <v>374</v>
      </c>
      <c r="F152" s="62">
        <v>4</v>
      </c>
      <c r="G152" s="62">
        <v>1</v>
      </c>
      <c r="H152" s="63">
        <v>1944.19</v>
      </c>
      <c r="I152" s="37">
        <v>1363.19</v>
      </c>
      <c r="J152" s="37">
        <v>240</v>
      </c>
      <c r="K152" s="36">
        <v>168</v>
      </c>
      <c r="L152" s="24" t="s">
        <v>489</v>
      </c>
      <c r="M152" s="37">
        <v>2121005.97</v>
      </c>
      <c r="N152" s="37"/>
      <c r="O152" s="37"/>
      <c r="P152" s="37"/>
      <c r="Q152" s="37">
        <v>2121005.97</v>
      </c>
      <c r="R152" s="29">
        <f aca="true" t="shared" si="13" ref="R152:R160">M152/I152</f>
        <v>1555.913680411388</v>
      </c>
      <c r="S152" s="29">
        <v>14736.15</v>
      </c>
      <c r="T152" s="24" t="s">
        <v>1359</v>
      </c>
      <c r="U152" s="83">
        <v>6.3</v>
      </c>
      <c r="V152" s="296">
        <v>2018</v>
      </c>
    </row>
    <row r="153" spans="1:22" s="2" customFormat="1" ht="45">
      <c r="A153" s="70">
        <v>93</v>
      </c>
      <c r="B153" s="82" t="s">
        <v>722</v>
      </c>
      <c r="C153" s="62">
        <v>1976</v>
      </c>
      <c r="D153" s="62"/>
      <c r="E153" s="76" t="s">
        <v>374</v>
      </c>
      <c r="F153" s="62">
        <v>2</v>
      </c>
      <c r="G153" s="62">
        <v>1</v>
      </c>
      <c r="H153" s="63">
        <v>349.5</v>
      </c>
      <c r="I153" s="37">
        <v>223</v>
      </c>
      <c r="J153" s="37">
        <v>110</v>
      </c>
      <c r="K153" s="36">
        <v>32</v>
      </c>
      <c r="L153" s="24" t="s">
        <v>721</v>
      </c>
      <c r="M153" s="37">
        <v>48721.48</v>
      </c>
      <c r="N153" s="37"/>
      <c r="O153" s="37"/>
      <c r="P153" s="37"/>
      <c r="Q153" s="37">
        <v>48721.48</v>
      </c>
      <c r="R153" s="29">
        <f t="shared" si="13"/>
        <v>218.48197309417043</v>
      </c>
      <c r="S153" s="29">
        <v>14736.15</v>
      </c>
      <c r="T153" s="24" t="s">
        <v>1359</v>
      </c>
      <c r="U153" s="83">
        <v>6.3</v>
      </c>
      <c r="V153" s="296">
        <v>2018</v>
      </c>
    </row>
    <row r="154" spans="1:22" s="2" customFormat="1" ht="45">
      <c r="A154" s="70">
        <v>94</v>
      </c>
      <c r="B154" s="82" t="s">
        <v>723</v>
      </c>
      <c r="C154" s="62">
        <v>1983</v>
      </c>
      <c r="D154" s="62">
        <v>2009</v>
      </c>
      <c r="E154" s="62" t="s">
        <v>374</v>
      </c>
      <c r="F154" s="62">
        <v>2</v>
      </c>
      <c r="G154" s="62">
        <v>1</v>
      </c>
      <c r="H154" s="63">
        <v>950.79</v>
      </c>
      <c r="I154" s="37">
        <v>638.79</v>
      </c>
      <c r="J154" s="37">
        <v>153.8</v>
      </c>
      <c r="K154" s="36">
        <v>91</v>
      </c>
      <c r="L154" s="24" t="s">
        <v>485</v>
      </c>
      <c r="M154" s="37">
        <v>2065896.71</v>
      </c>
      <c r="N154" s="37"/>
      <c r="O154" s="37"/>
      <c r="P154" s="37"/>
      <c r="Q154" s="37">
        <v>2065896.71</v>
      </c>
      <c r="R154" s="29">
        <f t="shared" si="13"/>
        <v>3234.0780381659074</v>
      </c>
      <c r="S154" s="29">
        <v>14736.15</v>
      </c>
      <c r="T154" s="24" t="s">
        <v>1359</v>
      </c>
      <c r="U154" s="83">
        <v>6.3</v>
      </c>
      <c r="V154" s="296">
        <v>2018</v>
      </c>
    </row>
    <row r="155" spans="1:22" s="2" customFormat="1" ht="45">
      <c r="A155" s="70">
        <v>95</v>
      </c>
      <c r="B155" s="82" t="s">
        <v>1182</v>
      </c>
      <c r="C155" s="62">
        <v>1991</v>
      </c>
      <c r="D155" s="62"/>
      <c r="E155" s="62" t="s">
        <v>494</v>
      </c>
      <c r="F155" s="62">
        <v>5</v>
      </c>
      <c r="G155" s="62">
        <v>3</v>
      </c>
      <c r="H155" s="63">
        <v>4387.55</v>
      </c>
      <c r="I155" s="37">
        <v>3933.35</v>
      </c>
      <c r="J155" s="37">
        <v>3002.7</v>
      </c>
      <c r="K155" s="36">
        <v>112</v>
      </c>
      <c r="L155" s="24" t="s">
        <v>721</v>
      </c>
      <c r="M155" s="37">
        <v>791840.22</v>
      </c>
      <c r="N155" s="37"/>
      <c r="O155" s="37"/>
      <c r="P155" s="37"/>
      <c r="Q155" s="37">
        <v>791840.22</v>
      </c>
      <c r="R155" s="29">
        <f t="shared" si="13"/>
        <v>201.31445714213075</v>
      </c>
      <c r="S155" s="29">
        <v>14736.15</v>
      </c>
      <c r="T155" s="24" t="s">
        <v>1359</v>
      </c>
      <c r="U155" s="83">
        <v>6.3</v>
      </c>
      <c r="V155" s="296">
        <v>2018</v>
      </c>
    </row>
    <row r="156" spans="1:22" s="2" customFormat="1" ht="45">
      <c r="A156" s="70">
        <v>96</v>
      </c>
      <c r="B156" s="82" t="s">
        <v>222</v>
      </c>
      <c r="C156" s="64">
        <v>1981</v>
      </c>
      <c r="D156" s="62"/>
      <c r="E156" s="62" t="s">
        <v>374</v>
      </c>
      <c r="F156" s="62">
        <v>2</v>
      </c>
      <c r="G156" s="62">
        <v>2</v>
      </c>
      <c r="H156" s="63">
        <v>820.84</v>
      </c>
      <c r="I156" s="37">
        <v>731.54</v>
      </c>
      <c r="J156" s="37">
        <v>731.54</v>
      </c>
      <c r="K156" s="36">
        <v>32</v>
      </c>
      <c r="L156" s="24" t="s">
        <v>497</v>
      </c>
      <c r="M156" s="37">
        <v>1751241.21</v>
      </c>
      <c r="N156" s="37"/>
      <c r="O156" s="37"/>
      <c r="P156" s="37"/>
      <c r="Q156" s="37">
        <v>1751241.21</v>
      </c>
      <c r="R156" s="29">
        <f>M156/I156</f>
        <v>2393.9103945102115</v>
      </c>
      <c r="S156" s="29">
        <v>14736.15</v>
      </c>
      <c r="T156" s="24" t="s">
        <v>1359</v>
      </c>
      <c r="U156" s="83">
        <v>6.3</v>
      </c>
      <c r="V156" s="296">
        <v>2018</v>
      </c>
    </row>
    <row r="157" spans="1:22" s="2" customFormat="1" ht="75">
      <c r="A157" s="70">
        <v>97</v>
      </c>
      <c r="B157" s="82" t="s">
        <v>919</v>
      </c>
      <c r="C157" s="64">
        <v>1980</v>
      </c>
      <c r="D157" s="62"/>
      <c r="E157" s="62" t="s">
        <v>374</v>
      </c>
      <c r="F157" s="62">
        <v>2</v>
      </c>
      <c r="G157" s="62">
        <v>3</v>
      </c>
      <c r="H157" s="63">
        <v>940.13</v>
      </c>
      <c r="I157" s="37">
        <v>862.13</v>
      </c>
      <c r="J157" s="37">
        <v>679.92</v>
      </c>
      <c r="K157" s="36">
        <v>58</v>
      </c>
      <c r="L157" s="62" t="s">
        <v>223</v>
      </c>
      <c r="M157" s="37">
        <v>2315143.89</v>
      </c>
      <c r="N157" s="37"/>
      <c r="O157" s="37"/>
      <c r="P157" s="37"/>
      <c r="Q157" s="37">
        <v>2315143.89</v>
      </c>
      <c r="R157" s="29">
        <f>M157/I157</f>
        <v>2685.3767877234295</v>
      </c>
      <c r="S157" s="29">
        <v>14736.15</v>
      </c>
      <c r="T157" s="24" t="s">
        <v>1359</v>
      </c>
      <c r="U157" s="83">
        <v>6.3</v>
      </c>
      <c r="V157" s="296">
        <v>2018</v>
      </c>
    </row>
    <row r="158" spans="1:22" s="2" customFormat="1" ht="45">
      <c r="A158" s="70">
        <v>98</v>
      </c>
      <c r="B158" s="82" t="s">
        <v>224</v>
      </c>
      <c r="C158" s="64">
        <v>1973</v>
      </c>
      <c r="D158" s="62"/>
      <c r="E158" s="62" t="s">
        <v>374</v>
      </c>
      <c r="F158" s="62">
        <v>2</v>
      </c>
      <c r="G158" s="62">
        <v>2</v>
      </c>
      <c r="H158" s="63">
        <v>580.4</v>
      </c>
      <c r="I158" s="37">
        <v>532</v>
      </c>
      <c r="J158" s="37">
        <v>245.1</v>
      </c>
      <c r="K158" s="36">
        <v>30</v>
      </c>
      <c r="L158" s="24" t="s">
        <v>489</v>
      </c>
      <c r="M158" s="37">
        <v>1122161.93</v>
      </c>
      <c r="N158" s="37"/>
      <c r="O158" s="37"/>
      <c r="P158" s="37"/>
      <c r="Q158" s="37">
        <v>1122161.93</v>
      </c>
      <c r="R158" s="29">
        <f>M158/I158</f>
        <v>2109.3269360902254</v>
      </c>
      <c r="S158" s="29">
        <v>14736.15</v>
      </c>
      <c r="T158" s="24" t="s">
        <v>1359</v>
      </c>
      <c r="U158" s="83">
        <v>6.3</v>
      </c>
      <c r="V158" s="296">
        <v>2018</v>
      </c>
    </row>
    <row r="159" spans="1:22" s="2" customFormat="1" ht="45">
      <c r="A159" s="70">
        <v>99</v>
      </c>
      <c r="B159" s="82" t="s">
        <v>724</v>
      </c>
      <c r="C159" s="64">
        <v>1983</v>
      </c>
      <c r="D159" s="62"/>
      <c r="E159" s="62" t="s">
        <v>374</v>
      </c>
      <c r="F159" s="62">
        <v>2</v>
      </c>
      <c r="G159" s="62">
        <v>3</v>
      </c>
      <c r="H159" s="63">
        <v>955.5</v>
      </c>
      <c r="I159" s="37">
        <v>873.4</v>
      </c>
      <c r="J159" s="37">
        <v>873.4</v>
      </c>
      <c r="K159" s="36">
        <v>41</v>
      </c>
      <c r="L159" s="24" t="s">
        <v>384</v>
      </c>
      <c r="M159" s="37">
        <v>423182.61</v>
      </c>
      <c r="N159" s="37"/>
      <c r="O159" s="37"/>
      <c r="P159" s="37"/>
      <c r="Q159" s="37">
        <v>423182.61</v>
      </c>
      <c r="R159" s="29">
        <f t="shared" si="13"/>
        <v>484.5232539500801</v>
      </c>
      <c r="S159" s="29">
        <v>14736.15</v>
      </c>
      <c r="T159" s="24" t="s">
        <v>1359</v>
      </c>
      <c r="U159" s="83">
        <v>6.3</v>
      </c>
      <c r="V159" s="296">
        <v>2018</v>
      </c>
    </row>
    <row r="160" spans="1:22" s="2" customFormat="1" ht="15">
      <c r="A160" s="70"/>
      <c r="B160" s="112" t="s">
        <v>953</v>
      </c>
      <c r="C160" s="62"/>
      <c r="D160" s="82"/>
      <c r="E160" s="62"/>
      <c r="F160" s="62"/>
      <c r="G160" s="62"/>
      <c r="H160" s="116">
        <f>SUM(H152:H159)</f>
        <v>10928.9</v>
      </c>
      <c r="I160" s="116">
        <f>SUM(I152:I159)</f>
        <v>9157.4</v>
      </c>
      <c r="J160" s="116">
        <f>SUM(J152:J159)</f>
        <v>6036.46</v>
      </c>
      <c r="K160" s="167">
        <f>SUM(K152:K159)</f>
        <v>564</v>
      </c>
      <c r="L160" s="116"/>
      <c r="M160" s="116">
        <f>SUM(M152:M159)</f>
        <v>10639194.02</v>
      </c>
      <c r="N160" s="116"/>
      <c r="O160" s="116"/>
      <c r="P160" s="116"/>
      <c r="Q160" s="116">
        <f>SUM(Q152:Q159)</f>
        <v>10639194.02</v>
      </c>
      <c r="R160" s="81">
        <f t="shared" si="13"/>
        <v>1161.8138358049227</v>
      </c>
      <c r="S160" s="37"/>
      <c r="T160" s="24"/>
      <c r="U160" s="75"/>
      <c r="V160" s="296"/>
    </row>
    <row r="161" spans="1:22" s="2" customFormat="1" ht="15">
      <c r="A161" s="300" t="s">
        <v>495</v>
      </c>
      <c r="B161" s="301"/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2"/>
      <c r="R161" s="301"/>
      <c r="S161" s="301"/>
      <c r="T161" s="301"/>
      <c r="U161" s="303"/>
      <c r="V161" s="296"/>
    </row>
    <row r="162" spans="1:22" s="2" customFormat="1" ht="45">
      <c r="A162" s="70">
        <v>100</v>
      </c>
      <c r="B162" s="82" t="s">
        <v>225</v>
      </c>
      <c r="C162" s="62">
        <v>1998</v>
      </c>
      <c r="D162" s="62"/>
      <c r="E162" s="62" t="s">
        <v>374</v>
      </c>
      <c r="F162" s="62">
        <v>2</v>
      </c>
      <c r="G162" s="62">
        <v>2</v>
      </c>
      <c r="H162" s="63">
        <v>618.9</v>
      </c>
      <c r="I162" s="37">
        <v>553.7</v>
      </c>
      <c r="J162" s="37">
        <v>553.7</v>
      </c>
      <c r="K162" s="36">
        <v>33</v>
      </c>
      <c r="L162" s="24" t="s">
        <v>489</v>
      </c>
      <c r="M162" s="37">
        <v>1126696.47</v>
      </c>
      <c r="N162" s="37"/>
      <c r="O162" s="37"/>
      <c r="P162" s="37"/>
      <c r="Q162" s="37">
        <v>1126696.47</v>
      </c>
      <c r="R162" s="37">
        <v>830.24</v>
      </c>
      <c r="S162" s="29">
        <v>14736.15</v>
      </c>
      <c r="T162" s="24" t="s">
        <v>1359</v>
      </c>
      <c r="U162" s="83">
        <v>6.3</v>
      </c>
      <c r="V162" s="296">
        <v>2018</v>
      </c>
    </row>
    <row r="163" spans="1:22" s="2" customFormat="1" ht="60">
      <c r="A163" s="70">
        <v>101</v>
      </c>
      <c r="B163" s="82" t="s">
        <v>779</v>
      </c>
      <c r="C163" s="62">
        <v>1980</v>
      </c>
      <c r="D163" s="62">
        <v>2000</v>
      </c>
      <c r="E163" s="62" t="s">
        <v>374</v>
      </c>
      <c r="F163" s="62">
        <v>2</v>
      </c>
      <c r="G163" s="62">
        <v>2</v>
      </c>
      <c r="H163" s="63">
        <v>549</v>
      </c>
      <c r="I163" s="37">
        <v>482.2</v>
      </c>
      <c r="J163" s="37">
        <v>242.2</v>
      </c>
      <c r="K163" s="36">
        <v>37</v>
      </c>
      <c r="L163" s="24" t="s">
        <v>505</v>
      </c>
      <c r="M163" s="37">
        <v>364263.46</v>
      </c>
      <c r="N163" s="37"/>
      <c r="O163" s="37"/>
      <c r="P163" s="37"/>
      <c r="Q163" s="37">
        <v>364263.46</v>
      </c>
      <c r="R163" s="37">
        <v>830.24</v>
      </c>
      <c r="S163" s="29">
        <v>14736.15</v>
      </c>
      <c r="T163" s="24" t="s">
        <v>1359</v>
      </c>
      <c r="U163" s="83">
        <v>6.3</v>
      </c>
      <c r="V163" s="296">
        <v>2018</v>
      </c>
    </row>
    <row r="164" spans="1:22" s="2" customFormat="1" ht="15">
      <c r="A164" s="70"/>
      <c r="B164" s="112" t="s">
        <v>76</v>
      </c>
      <c r="C164" s="24"/>
      <c r="D164" s="24"/>
      <c r="E164" s="24"/>
      <c r="F164" s="24"/>
      <c r="G164" s="24"/>
      <c r="H164" s="81">
        <f>SUM(H162:H163)</f>
        <v>1167.9</v>
      </c>
      <c r="I164" s="81">
        <f aca="true" t="shared" si="14" ref="I164:Q164">SUM(I162:I163)</f>
        <v>1035.9</v>
      </c>
      <c r="J164" s="81">
        <f t="shared" si="14"/>
        <v>795.9000000000001</v>
      </c>
      <c r="K164" s="98">
        <f t="shared" si="14"/>
        <v>70</v>
      </c>
      <c r="L164" s="81"/>
      <c r="M164" s="81">
        <f t="shared" si="14"/>
        <v>1490959.93</v>
      </c>
      <c r="N164" s="81"/>
      <c r="O164" s="81"/>
      <c r="P164" s="81"/>
      <c r="Q164" s="81">
        <f t="shared" si="14"/>
        <v>1490959.93</v>
      </c>
      <c r="R164" s="81">
        <v>830.24</v>
      </c>
      <c r="S164" s="117"/>
      <c r="T164" s="107"/>
      <c r="U164" s="85"/>
      <c r="V164" s="296"/>
    </row>
    <row r="165" spans="1:22" s="2" customFormat="1" ht="15">
      <c r="A165" s="300" t="s">
        <v>1364</v>
      </c>
      <c r="B165" s="301"/>
      <c r="C165" s="301"/>
      <c r="D165" s="301"/>
      <c r="E165" s="301"/>
      <c r="F165" s="301"/>
      <c r="G165" s="301"/>
      <c r="H165" s="301"/>
      <c r="I165" s="301"/>
      <c r="J165" s="301"/>
      <c r="K165" s="301"/>
      <c r="L165" s="301"/>
      <c r="M165" s="301"/>
      <c r="N165" s="301"/>
      <c r="O165" s="301"/>
      <c r="P165" s="301"/>
      <c r="Q165" s="302"/>
      <c r="R165" s="301"/>
      <c r="S165" s="301"/>
      <c r="T165" s="301"/>
      <c r="U165" s="303"/>
      <c r="V165" s="296"/>
    </row>
    <row r="166" spans="1:22" s="2" customFormat="1" ht="45">
      <c r="A166" s="70">
        <v>102</v>
      </c>
      <c r="B166" s="82" t="s">
        <v>1672</v>
      </c>
      <c r="C166" s="24">
        <v>1968</v>
      </c>
      <c r="D166" s="24">
        <v>2012</v>
      </c>
      <c r="E166" s="24" t="s">
        <v>374</v>
      </c>
      <c r="F166" s="24">
        <v>2</v>
      </c>
      <c r="G166" s="24">
        <v>2</v>
      </c>
      <c r="H166" s="37">
        <v>768.4</v>
      </c>
      <c r="I166" s="37">
        <v>710.4</v>
      </c>
      <c r="J166" s="37">
        <v>710.4</v>
      </c>
      <c r="K166" s="36">
        <v>35</v>
      </c>
      <c r="L166" s="24" t="s">
        <v>384</v>
      </c>
      <c r="M166" s="37">
        <v>338995.2</v>
      </c>
      <c r="N166" s="37"/>
      <c r="O166" s="37"/>
      <c r="P166" s="37"/>
      <c r="Q166" s="37">
        <v>338995.2</v>
      </c>
      <c r="R166" s="29">
        <f>M166/I166</f>
        <v>477.1891891891892</v>
      </c>
      <c r="S166" s="29">
        <v>14736.15</v>
      </c>
      <c r="T166" s="24" t="s">
        <v>1359</v>
      </c>
      <c r="U166" s="83">
        <v>6.3</v>
      </c>
      <c r="V166" s="296">
        <v>2018</v>
      </c>
    </row>
    <row r="167" spans="1:22" s="2" customFormat="1" ht="75">
      <c r="A167" s="70">
        <v>103</v>
      </c>
      <c r="B167" s="82" t="s">
        <v>226</v>
      </c>
      <c r="C167" s="24">
        <v>1978</v>
      </c>
      <c r="D167" s="24">
        <v>2013</v>
      </c>
      <c r="E167" s="24" t="s">
        <v>374</v>
      </c>
      <c r="F167" s="24">
        <v>2</v>
      </c>
      <c r="G167" s="24">
        <v>3</v>
      </c>
      <c r="H167" s="37">
        <v>1438.7</v>
      </c>
      <c r="I167" s="37">
        <v>838</v>
      </c>
      <c r="J167" s="37">
        <v>795.6</v>
      </c>
      <c r="K167" s="36">
        <v>48</v>
      </c>
      <c r="L167" s="24" t="s">
        <v>506</v>
      </c>
      <c r="M167" s="37">
        <v>856486.46</v>
      </c>
      <c r="N167" s="37"/>
      <c r="O167" s="37"/>
      <c r="P167" s="37"/>
      <c r="Q167" s="37">
        <v>856486.46</v>
      </c>
      <c r="R167" s="29">
        <f>M167/I167</f>
        <v>1022.060214797136</v>
      </c>
      <c r="S167" s="29">
        <v>14736.15</v>
      </c>
      <c r="T167" s="24" t="s">
        <v>1359</v>
      </c>
      <c r="U167" s="83">
        <v>6.3</v>
      </c>
      <c r="V167" s="296">
        <v>2018</v>
      </c>
    </row>
    <row r="168" spans="1:22" s="2" customFormat="1" ht="75">
      <c r="A168" s="70">
        <v>104</v>
      </c>
      <c r="B168" s="82" t="s">
        <v>227</v>
      </c>
      <c r="C168" s="24">
        <v>1979</v>
      </c>
      <c r="D168" s="24">
        <v>2013</v>
      </c>
      <c r="E168" s="24" t="s">
        <v>374</v>
      </c>
      <c r="F168" s="24">
        <v>2</v>
      </c>
      <c r="G168" s="24">
        <v>3</v>
      </c>
      <c r="H168" s="37">
        <v>974.8</v>
      </c>
      <c r="I168" s="37">
        <v>835.5</v>
      </c>
      <c r="J168" s="37">
        <v>835.5</v>
      </c>
      <c r="K168" s="36">
        <v>45</v>
      </c>
      <c r="L168" s="24" t="s">
        <v>966</v>
      </c>
      <c r="M168" s="37">
        <v>941727.39</v>
      </c>
      <c r="N168" s="37"/>
      <c r="O168" s="37"/>
      <c r="P168" s="37"/>
      <c r="Q168" s="37">
        <v>941727.39</v>
      </c>
      <c r="R168" s="29">
        <f>M168/I168</f>
        <v>1127.1422980251348</v>
      </c>
      <c r="S168" s="29">
        <v>14736.15</v>
      </c>
      <c r="T168" s="24" t="s">
        <v>1359</v>
      </c>
      <c r="U168" s="83">
        <v>6.3</v>
      </c>
      <c r="V168" s="296">
        <v>2018</v>
      </c>
    </row>
    <row r="169" spans="1:22" s="2" customFormat="1" ht="60">
      <c r="A169" s="70">
        <v>105</v>
      </c>
      <c r="B169" s="82" t="s">
        <v>1183</v>
      </c>
      <c r="C169" s="24">
        <v>1978</v>
      </c>
      <c r="D169" s="24" t="s">
        <v>774</v>
      </c>
      <c r="E169" s="24" t="s">
        <v>374</v>
      </c>
      <c r="F169" s="24">
        <v>2</v>
      </c>
      <c r="G169" s="24">
        <v>3</v>
      </c>
      <c r="H169" s="37">
        <v>844.6</v>
      </c>
      <c r="I169" s="37">
        <v>844.6</v>
      </c>
      <c r="J169" s="37">
        <v>669.8</v>
      </c>
      <c r="K169" s="36">
        <v>48</v>
      </c>
      <c r="L169" s="24" t="s">
        <v>775</v>
      </c>
      <c r="M169" s="37">
        <v>436526.2</v>
      </c>
      <c r="N169" s="37"/>
      <c r="O169" s="37"/>
      <c r="P169" s="37"/>
      <c r="Q169" s="37">
        <v>436526.2</v>
      </c>
      <c r="R169" s="29">
        <f>M169/I169</f>
        <v>516.8437130002368</v>
      </c>
      <c r="S169" s="29">
        <v>14736.15</v>
      </c>
      <c r="T169" s="24" t="s">
        <v>1359</v>
      </c>
      <c r="U169" s="83">
        <v>6.3</v>
      </c>
      <c r="V169" s="296">
        <v>2018</v>
      </c>
    </row>
    <row r="170" spans="1:22" s="2" customFormat="1" ht="15">
      <c r="A170" s="70"/>
      <c r="B170" s="102" t="s">
        <v>954</v>
      </c>
      <c r="C170" s="79" t="s">
        <v>379</v>
      </c>
      <c r="D170" s="79" t="s">
        <v>379</v>
      </c>
      <c r="E170" s="79" t="s">
        <v>379</v>
      </c>
      <c r="F170" s="79" t="s">
        <v>379</v>
      </c>
      <c r="G170" s="79" t="s">
        <v>379</v>
      </c>
      <c r="H170" s="81">
        <f>SUM(H166:H169)</f>
        <v>4026.4999999999995</v>
      </c>
      <c r="I170" s="81">
        <f aca="true" t="shared" si="15" ref="I170:Q170">SUM(I166:I169)</f>
        <v>3228.5</v>
      </c>
      <c r="J170" s="81">
        <f t="shared" si="15"/>
        <v>3011.3</v>
      </c>
      <c r="K170" s="98">
        <f t="shared" si="15"/>
        <v>176</v>
      </c>
      <c r="L170" s="81"/>
      <c r="M170" s="81">
        <f t="shared" si="15"/>
        <v>2573735.25</v>
      </c>
      <c r="N170" s="81"/>
      <c r="O170" s="81"/>
      <c r="P170" s="81"/>
      <c r="Q170" s="81">
        <f t="shared" si="15"/>
        <v>2573735.25</v>
      </c>
      <c r="R170" s="96">
        <f>M170/I170</f>
        <v>797.1922719529193</v>
      </c>
      <c r="S170" s="29"/>
      <c r="T170" s="76"/>
      <c r="U170" s="85"/>
      <c r="V170" s="296"/>
    </row>
    <row r="171" spans="1:22" s="2" customFormat="1" ht="15">
      <c r="A171" s="304" t="s">
        <v>1369</v>
      </c>
      <c r="B171" s="301"/>
      <c r="C171" s="301"/>
      <c r="D171" s="301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301"/>
      <c r="P171" s="301"/>
      <c r="Q171" s="302"/>
      <c r="R171" s="301"/>
      <c r="S171" s="301"/>
      <c r="T171" s="301"/>
      <c r="U171" s="303"/>
      <c r="V171" s="296"/>
    </row>
    <row r="172" spans="1:22" s="2" customFormat="1" ht="45">
      <c r="A172" s="70">
        <v>106</v>
      </c>
      <c r="B172" s="82" t="s">
        <v>1184</v>
      </c>
      <c r="C172" s="24">
        <v>1969</v>
      </c>
      <c r="D172" s="24"/>
      <c r="E172" s="24" t="s">
        <v>374</v>
      </c>
      <c r="F172" s="24">
        <v>5</v>
      </c>
      <c r="G172" s="24">
        <v>2</v>
      </c>
      <c r="H172" s="37">
        <v>3188.8</v>
      </c>
      <c r="I172" s="37">
        <v>3162.83</v>
      </c>
      <c r="J172" s="37">
        <v>2963.17</v>
      </c>
      <c r="K172" s="36">
        <v>161</v>
      </c>
      <c r="L172" s="24" t="s">
        <v>1069</v>
      </c>
      <c r="M172" s="37">
        <v>3836371.95</v>
      </c>
      <c r="N172" s="37"/>
      <c r="O172" s="37"/>
      <c r="P172" s="37"/>
      <c r="Q172" s="37">
        <v>3836371.95</v>
      </c>
      <c r="R172" s="29">
        <f>M172/I172</f>
        <v>1212.95547025923</v>
      </c>
      <c r="S172" s="29">
        <v>14736.15</v>
      </c>
      <c r="T172" s="37" t="s">
        <v>1359</v>
      </c>
      <c r="U172" s="118">
        <v>6.3</v>
      </c>
      <c r="V172" s="296">
        <v>2018</v>
      </c>
    </row>
    <row r="173" spans="1:22" s="2" customFormat="1" ht="45">
      <c r="A173" s="70">
        <v>107</v>
      </c>
      <c r="B173" s="82" t="s">
        <v>1185</v>
      </c>
      <c r="C173" s="24">
        <v>1972</v>
      </c>
      <c r="D173" s="24"/>
      <c r="E173" s="24" t="s">
        <v>374</v>
      </c>
      <c r="F173" s="24">
        <v>5</v>
      </c>
      <c r="G173" s="24">
        <v>4</v>
      </c>
      <c r="H173" s="37">
        <v>3581.88</v>
      </c>
      <c r="I173" s="37">
        <v>3581.88</v>
      </c>
      <c r="J173" s="37">
        <v>2884.11</v>
      </c>
      <c r="K173" s="36">
        <v>129</v>
      </c>
      <c r="L173" s="24" t="s">
        <v>500</v>
      </c>
      <c r="M173" s="37">
        <v>5835690.48</v>
      </c>
      <c r="N173" s="37"/>
      <c r="O173" s="37"/>
      <c r="P173" s="37"/>
      <c r="Q173" s="37">
        <v>5835690.48</v>
      </c>
      <c r="R173" s="29">
        <f aca="true" t="shared" si="16" ref="R173:R183">M173/I173</f>
        <v>1629.2255686957687</v>
      </c>
      <c r="S173" s="29">
        <v>14736.15</v>
      </c>
      <c r="T173" s="37" t="s">
        <v>1359</v>
      </c>
      <c r="U173" s="118">
        <v>6.3</v>
      </c>
      <c r="V173" s="296">
        <v>2018</v>
      </c>
    </row>
    <row r="174" spans="1:22" s="2" customFormat="1" ht="45">
      <c r="A174" s="70">
        <v>108</v>
      </c>
      <c r="B174" s="82" t="s">
        <v>777</v>
      </c>
      <c r="C174" s="24">
        <v>1972</v>
      </c>
      <c r="D174" s="24"/>
      <c r="E174" s="24" t="s">
        <v>374</v>
      </c>
      <c r="F174" s="24">
        <v>5</v>
      </c>
      <c r="G174" s="24">
        <v>4</v>
      </c>
      <c r="H174" s="37">
        <v>3153.64</v>
      </c>
      <c r="I174" s="37">
        <v>3153.64</v>
      </c>
      <c r="J174" s="37">
        <v>2858.14</v>
      </c>
      <c r="K174" s="36">
        <v>79</v>
      </c>
      <c r="L174" s="24" t="s">
        <v>489</v>
      </c>
      <c r="M174" s="37">
        <v>1352867.01</v>
      </c>
      <c r="N174" s="37"/>
      <c r="O174" s="37"/>
      <c r="P174" s="37"/>
      <c r="Q174" s="37">
        <v>1352867.01</v>
      </c>
      <c r="R174" s="29">
        <f t="shared" si="16"/>
        <v>428.98587346685105</v>
      </c>
      <c r="S174" s="29">
        <v>14736.15</v>
      </c>
      <c r="T174" s="37" t="s">
        <v>1359</v>
      </c>
      <c r="U174" s="118">
        <v>6.3</v>
      </c>
      <c r="V174" s="296">
        <v>2018</v>
      </c>
    </row>
    <row r="175" spans="1:22" s="2" customFormat="1" ht="45">
      <c r="A175" s="70">
        <v>109</v>
      </c>
      <c r="B175" s="82" t="s">
        <v>1186</v>
      </c>
      <c r="C175" s="24">
        <v>1980</v>
      </c>
      <c r="D175" s="24"/>
      <c r="E175" s="24" t="s">
        <v>494</v>
      </c>
      <c r="F175" s="24">
        <v>5</v>
      </c>
      <c r="G175" s="24">
        <v>5</v>
      </c>
      <c r="H175" s="37">
        <v>3525.92</v>
      </c>
      <c r="I175" s="37">
        <v>3525.92</v>
      </c>
      <c r="J175" s="37">
        <v>3279.53</v>
      </c>
      <c r="K175" s="36">
        <v>150</v>
      </c>
      <c r="L175" s="24" t="s">
        <v>1069</v>
      </c>
      <c r="M175" s="37">
        <v>4009221.62</v>
      </c>
      <c r="N175" s="37"/>
      <c r="O175" s="37"/>
      <c r="P175" s="37"/>
      <c r="Q175" s="37">
        <v>4009221.62</v>
      </c>
      <c r="R175" s="29">
        <f t="shared" si="16"/>
        <v>1137.0710679765848</v>
      </c>
      <c r="S175" s="29">
        <v>14736.15</v>
      </c>
      <c r="T175" s="37" t="s">
        <v>1359</v>
      </c>
      <c r="U175" s="118">
        <v>6.3</v>
      </c>
      <c r="V175" s="296">
        <v>2018</v>
      </c>
    </row>
    <row r="176" spans="1:22" s="2" customFormat="1" ht="45">
      <c r="A176" s="70">
        <v>110</v>
      </c>
      <c r="B176" s="82" t="s">
        <v>1187</v>
      </c>
      <c r="C176" s="24">
        <v>1975</v>
      </c>
      <c r="D176" s="24"/>
      <c r="E176" s="24" t="s">
        <v>374</v>
      </c>
      <c r="F176" s="24">
        <v>5</v>
      </c>
      <c r="G176" s="24">
        <v>4</v>
      </c>
      <c r="H176" s="37">
        <v>3275.24</v>
      </c>
      <c r="I176" s="37">
        <v>3275.24</v>
      </c>
      <c r="J176" s="37">
        <v>3096.77</v>
      </c>
      <c r="K176" s="36">
        <v>154</v>
      </c>
      <c r="L176" s="24" t="s">
        <v>384</v>
      </c>
      <c r="M176" s="37">
        <v>1028511.47</v>
      </c>
      <c r="N176" s="37"/>
      <c r="O176" s="37"/>
      <c r="P176" s="37"/>
      <c r="Q176" s="37">
        <v>1028511.47</v>
      </c>
      <c r="R176" s="29">
        <f t="shared" si="16"/>
        <v>314.0262912030874</v>
      </c>
      <c r="S176" s="29">
        <v>14736.15</v>
      </c>
      <c r="T176" s="37" t="s">
        <v>1359</v>
      </c>
      <c r="U176" s="118">
        <v>6.3</v>
      </c>
      <c r="V176" s="296">
        <v>2018</v>
      </c>
    </row>
    <row r="177" spans="1:22" s="2" customFormat="1" ht="45">
      <c r="A177" s="70">
        <v>111</v>
      </c>
      <c r="B177" s="82" t="s">
        <v>1188</v>
      </c>
      <c r="C177" s="24">
        <v>1969</v>
      </c>
      <c r="D177" s="24"/>
      <c r="E177" s="24" t="s">
        <v>374</v>
      </c>
      <c r="F177" s="24">
        <v>5</v>
      </c>
      <c r="G177" s="24">
        <v>5</v>
      </c>
      <c r="H177" s="37">
        <v>3265.05</v>
      </c>
      <c r="I177" s="37">
        <v>3265.05</v>
      </c>
      <c r="J177" s="37">
        <v>3085.66</v>
      </c>
      <c r="K177" s="36">
        <v>129</v>
      </c>
      <c r="L177" s="24" t="s">
        <v>489</v>
      </c>
      <c r="M177" s="37">
        <v>2845779.15</v>
      </c>
      <c r="N177" s="37"/>
      <c r="O177" s="37"/>
      <c r="P177" s="37"/>
      <c r="Q177" s="37">
        <v>2845779.15</v>
      </c>
      <c r="R177" s="29">
        <f t="shared" si="16"/>
        <v>871.5882298892818</v>
      </c>
      <c r="S177" s="29">
        <v>14736.15</v>
      </c>
      <c r="T177" s="37" t="s">
        <v>1359</v>
      </c>
      <c r="U177" s="118">
        <v>6.3</v>
      </c>
      <c r="V177" s="296">
        <v>2018</v>
      </c>
    </row>
    <row r="178" spans="1:22" s="2" customFormat="1" ht="45">
      <c r="A178" s="70">
        <v>112</v>
      </c>
      <c r="B178" s="82" t="s">
        <v>1083</v>
      </c>
      <c r="C178" s="24">
        <v>2008</v>
      </c>
      <c r="D178" s="24"/>
      <c r="E178" s="24" t="s">
        <v>374</v>
      </c>
      <c r="F178" s="24">
        <v>5</v>
      </c>
      <c r="G178" s="24">
        <v>3</v>
      </c>
      <c r="H178" s="37">
        <v>2476.4</v>
      </c>
      <c r="I178" s="37">
        <v>2476.4</v>
      </c>
      <c r="J178" s="37">
        <v>2116.6</v>
      </c>
      <c r="K178" s="36">
        <v>91</v>
      </c>
      <c r="L178" s="24" t="s">
        <v>489</v>
      </c>
      <c r="M178" s="37">
        <v>2235628.8</v>
      </c>
      <c r="N178" s="37"/>
      <c r="O178" s="37"/>
      <c r="P178" s="37"/>
      <c r="Q178" s="37">
        <v>2235628.8</v>
      </c>
      <c r="R178" s="29">
        <f t="shared" si="16"/>
        <v>902.7737037635276</v>
      </c>
      <c r="S178" s="29">
        <v>14736.15</v>
      </c>
      <c r="T178" s="37" t="s">
        <v>1359</v>
      </c>
      <c r="U178" s="118">
        <v>6.3</v>
      </c>
      <c r="V178" s="296">
        <v>2018</v>
      </c>
    </row>
    <row r="179" spans="1:22" s="2" customFormat="1" ht="45">
      <c r="A179" s="70">
        <v>113</v>
      </c>
      <c r="B179" s="82" t="s">
        <v>1189</v>
      </c>
      <c r="C179" s="24">
        <v>1975</v>
      </c>
      <c r="D179" s="24"/>
      <c r="E179" s="24" t="s">
        <v>374</v>
      </c>
      <c r="F179" s="24">
        <v>5</v>
      </c>
      <c r="G179" s="24">
        <v>6</v>
      </c>
      <c r="H179" s="37">
        <v>3787.63</v>
      </c>
      <c r="I179" s="37">
        <v>3787.63</v>
      </c>
      <c r="J179" s="37">
        <v>3337.63</v>
      </c>
      <c r="K179" s="36">
        <v>133</v>
      </c>
      <c r="L179" s="24" t="s">
        <v>1593</v>
      </c>
      <c r="M179" s="37">
        <v>1036036.04</v>
      </c>
      <c r="N179" s="37"/>
      <c r="O179" s="37"/>
      <c r="P179" s="37"/>
      <c r="Q179" s="37">
        <v>1036036.04</v>
      </c>
      <c r="R179" s="29">
        <f t="shared" si="16"/>
        <v>273.53148010761345</v>
      </c>
      <c r="S179" s="29">
        <v>14736.15</v>
      </c>
      <c r="T179" s="37" t="s">
        <v>1359</v>
      </c>
      <c r="U179" s="118">
        <v>6.3</v>
      </c>
      <c r="V179" s="296">
        <v>2018</v>
      </c>
    </row>
    <row r="180" spans="1:22" s="2" customFormat="1" ht="45">
      <c r="A180" s="70">
        <v>114</v>
      </c>
      <c r="B180" s="119" t="s">
        <v>967</v>
      </c>
      <c r="C180" s="101">
        <v>1991</v>
      </c>
      <c r="D180" s="101"/>
      <c r="E180" s="38" t="s">
        <v>374</v>
      </c>
      <c r="F180" s="101">
        <v>2</v>
      </c>
      <c r="G180" s="101">
        <v>1</v>
      </c>
      <c r="H180" s="69">
        <v>414.17</v>
      </c>
      <c r="I180" s="33">
        <v>414.17</v>
      </c>
      <c r="J180" s="69">
        <v>376.3</v>
      </c>
      <c r="K180" s="269">
        <v>24</v>
      </c>
      <c r="L180" s="38" t="s">
        <v>489</v>
      </c>
      <c r="M180" s="37">
        <v>524771.91</v>
      </c>
      <c r="N180" s="37"/>
      <c r="O180" s="37"/>
      <c r="P180" s="37"/>
      <c r="Q180" s="37">
        <v>524771.91</v>
      </c>
      <c r="R180" s="29">
        <f t="shared" si="16"/>
        <v>1267.0447159379</v>
      </c>
      <c r="S180" s="29">
        <v>14736.15</v>
      </c>
      <c r="T180" s="37" t="s">
        <v>1359</v>
      </c>
      <c r="U180" s="118">
        <v>6.3</v>
      </c>
      <c r="V180" s="296">
        <v>2018</v>
      </c>
    </row>
    <row r="181" spans="1:22" s="2" customFormat="1" ht="45">
      <c r="A181" s="70">
        <v>115</v>
      </c>
      <c r="B181" s="82" t="s">
        <v>1190</v>
      </c>
      <c r="C181" s="24">
        <v>1985</v>
      </c>
      <c r="D181" s="24"/>
      <c r="E181" s="24" t="s">
        <v>374</v>
      </c>
      <c r="F181" s="24">
        <v>5</v>
      </c>
      <c r="G181" s="24">
        <v>6</v>
      </c>
      <c r="H181" s="37">
        <v>4662.82</v>
      </c>
      <c r="I181" s="37">
        <v>4662.82</v>
      </c>
      <c r="J181" s="37">
        <v>3744.08</v>
      </c>
      <c r="K181" s="36">
        <v>130</v>
      </c>
      <c r="L181" s="24" t="s">
        <v>1593</v>
      </c>
      <c r="M181" s="37">
        <v>1141644.51</v>
      </c>
      <c r="N181" s="37"/>
      <c r="O181" s="37"/>
      <c r="P181" s="37"/>
      <c r="Q181" s="37">
        <v>1141644.51</v>
      </c>
      <c r="R181" s="29">
        <f t="shared" si="16"/>
        <v>244.8399273401075</v>
      </c>
      <c r="S181" s="29">
        <v>14047.81</v>
      </c>
      <c r="T181" s="37" t="s">
        <v>1359</v>
      </c>
      <c r="U181" s="118">
        <v>6.3</v>
      </c>
      <c r="V181" s="296">
        <v>2018</v>
      </c>
    </row>
    <row r="182" spans="1:22" s="2" customFormat="1" ht="45">
      <c r="A182" s="70">
        <v>116</v>
      </c>
      <c r="B182" s="119" t="s">
        <v>389</v>
      </c>
      <c r="C182" s="101">
        <v>1984</v>
      </c>
      <c r="D182" s="101"/>
      <c r="E182" s="38" t="s">
        <v>374</v>
      </c>
      <c r="F182" s="101">
        <v>5</v>
      </c>
      <c r="G182" s="101">
        <v>8</v>
      </c>
      <c r="H182" s="69">
        <v>6662.9</v>
      </c>
      <c r="I182" s="69">
        <v>6101.69</v>
      </c>
      <c r="J182" s="69">
        <v>6101.69</v>
      </c>
      <c r="K182" s="269">
        <v>114</v>
      </c>
      <c r="L182" s="24" t="s">
        <v>1069</v>
      </c>
      <c r="M182" s="37">
        <v>690700</v>
      </c>
      <c r="N182" s="37"/>
      <c r="O182" s="37"/>
      <c r="P182" s="37"/>
      <c r="Q182" s="37">
        <v>690700</v>
      </c>
      <c r="R182" s="29">
        <f>M182/I182</f>
        <v>113.19814674295155</v>
      </c>
      <c r="S182" s="29">
        <v>14736.15</v>
      </c>
      <c r="T182" s="37" t="s">
        <v>1418</v>
      </c>
      <c r="U182" s="118">
        <v>690700</v>
      </c>
      <c r="V182" s="296">
        <v>2018</v>
      </c>
    </row>
    <row r="183" spans="1:22" s="2" customFormat="1" ht="15">
      <c r="A183" s="70"/>
      <c r="B183" s="112" t="s">
        <v>955</v>
      </c>
      <c r="C183" s="24"/>
      <c r="D183" s="24"/>
      <c r="E183" s="24"/>
      <c r="F183" s="24"/>
      <c r="G183" s="24"/>
      <c r="H183" s="81">
        <f>SUM(H172:H182)</f>
        <v>37994.45</v>
      </c>
      <c r="I183" s="81">
        <f aca="true" t="shared" si="17" ref="I183:Q183">SUM(I172:I182)</f>
        <v>37407.270000000004</v>
      </c>
      <c r="J183" s="81">
        <f t="shared" si="17"/>
        <v>33843.68</v>
      </c>
      <c r="K183" s="98">
        <f t="shared" si="17"/>
        <v>1294</v>
      </c>
      <c r="L183" s="81"/>
      <c r="M183" s="81">
        <f t="shared" si="17"/>
        <v>24537222.94</v>
      </c>
      <c r="N183" s="81"/>
      <c r="O183" s="81"/>
      <c r="P183" s="81"/>
      <c r="Q183" s="81">
        <f t="shared" si="17"/>
        <v>24537222.94</v>
      </c>
      <c r="R183" s="96">
        <f t="shared" si="16"/>
        <v>655.9479732148322</v>
      </c>
      <c r="S183" s="37"/>
      <c r="T183" s="76"/>
      <c r="U183" s="85"/>
      <c r="V183" s="296"/>
    </row>
    <row r="184" spans="1:22" s="2" customFormat="1" ht="15">
      <c r="A184" s="304" t="s">
        <v>1370</v>
      </c>
      <c r="B184" s="310"/>
      <c r="C184" s="310"/>
      <c r="D184" s="310"/>
      <c r="E184" s="310"/>
      <c r="F184" s="310"/>
      <c r="G184" s="310"/>
      <c r="H184" s="310"/>
      <c r="I184" s="310"/>
      <c r="J184" s="310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  <c r="U184" s="311"/>
      <c r="V184" s="296"/>
    </row>
    <row r="185" spans="1:22" s="2" customFormat="1" ht="45">
      <c r="A185" s="70">
        <v>117</v>
      </c>
      <c r="B185" s="34" t="s">
        <v>1191</v>
      </c>
      <c r="C185" s="24">
        <v>1959</v>
      </c>
      <c r="D185" s="24"/>
      <c r="E185" s="24" t="s">
        <v>374</v>
      </c>
      <c r="F185" s="24">
        <v>4</v>
      </c>
      <c r="G185" s="24">
        <v>3</v>
      </c>
      <c r="H185" s="37">
        <v>3004</v>
      </c>
      <c r="I185" s="37">
        <v>3004</v>
      </c>
      <c r="J185" s="37">
        <v>2718.16</v>
      </c>
      <c r="K185" s="36">
        <v>105</v>
      </c>
      <c r="L185" s="24" t="s">
        <v>489</v>
      </c>
      <c r="M185" s="37">
        <v>3213926.5300000003</v>
      </c>
      <c r="N185" s="37"/>
      <c r="O185" s="37"/>
      <c r="P185" s="37"/>
      <c r="Q185" s="37">
        <v>3213926.5300000003</v>
      </c>
      <c r="R185" s="29">
        <f>M185/I185</f>
        <v>1069.8823335552597</v>
      </c>
      <c r="S185" s="29">
        <v>14736.15</v>
      </c>
      <c r="T185" s="29" t="s">
        <v>1359</v>
      </c>
      <c r="U185" s="118">
        <v>6.3</v>
      </c>
      <c r="V185" s="296">
        <v>2018</v>
      </c>
    </row>
    <row r="186" spans="1:22" s="2" customFormat="1" ht="45">
      <c r="A186" s="70">
        <v>118</v>
      </c>
      <c r="B186" s="34" t="s">
        <v>1192</v>
      </c>
      <c r="C186" s="24">
        <v>1956</v>
      </c>
      <c r="D186" s="24"/>
      <c r="E186" s="24" t="s">
        <v>467</v>
      </c>
      <c r="F186" s="24">
        <v>2</v>
      </c>
      <c r="G186" s="24">
        <v>1</v>
      </c>
      <c r="H186" s="37">
        <v>251.24</v>
      </c>
      <c r="I186" s="37">
        <v>231.66</v>
      </c>
      <c r="J186" s="37">
        <v>231.66</v>
      </c>
      <c r="K186" s="36">
        <v>14</v>
      </c>
      <c r="L186" s="24" t="s">
        <v>489</v>
      </c>
      <c r="M186" s="37">
        <v>607356</v>
      </c>
      <c r="N186" s="37"/>
      <c r="O186" s="37"/>
      <c r="P186" s="37"/>
      <c r="Q186" s="37">
        <v>607356</v>
      </c>
      <c r="R186" s="29">
        <f aca="true" t="shared" si="18" ref="R186:R215">M186/I186</f>
        <v>2621.7560217560217</v>
      </c>
      <c r="S186" s="29">
        <v>14736.15</v>
      </c>
      <c r="T186" s="29" t="s">
        <v>1359</v>
      </c>
      <c r="U186" s="118">
        <v>6.3</v>
      </c>
      <c r="V186" s="296">
        <v>2018</v>
      </c>
    </row>
    <row r="187" spans="1:22" s="2" customFormat="1" ht="45">
      <c r="A187" s="70">
        <v>119</v>
      </c>
      <c r="B187" s="34" t="s">
        <v>1193</v>
      </c>
      <c r="C187" s="24">
        <v>1956</v>
      </c>
      <c r="D187" s="24"/>
      <c r="E187" s="24" t="s">
        <v>374</v>
      </c>
      <c r="F187" s="24">
        <v>2</v>
      </c>
      <c r="G187" s="24">
        <v>1</v>
      </c>
      <c r="H187" s="37">
        <v>254.71</v>
      </c>
      <c r="I187" s="37">
        <v>254.71</v>
      </c>
      <c r="J187" s="37">
        <v>229.4</v>
      </c>
      <c r="K187" s="36">
        <v>20</v>
      </c>
      <c r="L187" s="24" t="s">
        <v>489</v>
      </c>
      <c r="M187" s="37">
        <v>605461.38</v>
      </c>
      <c r="N187" s="37"/>
      <c r="O187" s="37"/>
      <c r="P187" s="37"/>
      <c r="Q187" s="37">
        <v>605461.38</v>
      </c>
      <c r="R187" s="29">
        <f t="shared" si="18"/>
        <v>2377.06167798673</v>
      </c>
      <c r="S187" s="29">
        <v>14736.15</v>
      </c>
      <c r="T187" s="29" t="s">
        <v>1359</v>
      </c>
      <c r="U187" s="118">
        <v>6.3</v>
      </c>
      <c r="V187" s="296">
        <v>2018</v>
      </c>
    </row>
    <row r="188" spans="1:22" s="2" customFormat="1" ht="45">
      <c r="A188" s="70">
        <v>120</v>
      </c>
      <c r="B188" s="34" t="s">
        <v>1194</v>
      </c>
      <c r="C188" s="24">
        <v>1959</v>
      </c>
      <c r="D188" s="24"/>
      <c r="E188" s="24" t="s">
        <v>374</v>
      </c>
      <c r="F188" s="24">
        <v>4</v>
      </c>
      <c r="G188" s="24">
        <v>6</v>
      </c>
      <c r="H188" s="37">
        <v>280.33</v>
      </c>
      <c r="I188" s="37">
        <v>265.14</v>
      </c>
      <c r="J188" s="37">
        <v>265.14</v>
      </c>
      <c r="K188" s="36">
        <v>150</v>
      </c>
      <c r="L188" s="24" t="s">
        <v>489</v>
      </c>
      <c r="M188" s="37">
        <v>608029.04</v>
      </c>
      <c r="N188" s="37"/>
      <c r="O188" s="37"/>
      <c r="P188" s="37"/>
      <c r="Q188" s="37">
        <v>608029.04</v>
      </c>
      <c r="R188" s="29">
        <f t="shared" si="18"/>
        <v>2293.2376857509244</v>
      </c>
      <c r="S188" s="29">
        <v>14736.15</v>
      </c>
      <c r="T188" s="29" t="s">
        <v>1359</v>
      </c>
      <c r="U188" s="118">
        <v>6.3</v>
      </c>
      <c r="V188" s="296">
        <v>2018</v>
      </c>
    </row>
    <row r="189" spans="1:22" s="2" customFormat="1" ht="45">
      <c r="A189" s="70">
        <v>121</v>
      </c>
      <c r="B189" s="82" t="s">
        <v>1195</v>
      </c>
      <c r="C189" s="24">
        <v>1959</v>
      </c>
      <c r="D189" s="24"/>
      <c r="E189" s="24" t="s">
        <v>374</v>
      </c>
      <c r="F189" s="24">
        <v>2</v>
      </c>
      <c r="G189" s="24">
        <v>1</v>
      </c>
      <c r="H189" s="37">
        <v>263.98</v>
      </c>
      <c r="I189" s="37">
        <v>263.98</v>
      </c>
      <c r="J189" s="37">
        <v>202.1</v>
      </c>
      <c r="K189" s="36">
        <v>20</v>
      </c>
      <c r="L189" s="24" t="s">
        <v>489</v>
      </c>
      <c r="M189" s="37">
        <v>629364.53</v>
      </c>
      <c r="N189" s="37"/>
      <c r="O189" s="37"/>
      <c r="P189" s="37"/>
      <c r="Q189" s="37">
        <v>629364.53</v>
      </c>
      <c r="R189" s="29">
        <f t="shared" si="18"/>
        <v>2384.1371694825366</v>
      </c>
      <c r="S189" s="29">
        <v>14736.15</v>
      </c>
      <c r="T189" s="29" t="s">
        <v>1359</v>
      </c>
      <c r="U189" s="118">
        <v>6.3</v>
      </c>
      <c r="V189" s="296">
        <v>2018</v>
      </c>
    </row>
    <row r="190" spans="1:22" s="2" customFormat="1" ht="45">
      <c r="A190" s="70">
        <v>122</v>
      </c>
      <c r="B190" s="34" t="s">
        <v>1196</v>
      </c>
      <c r="C190" s="24">
        <v>1952</v>
      </c>
      <c r="D190" s="24"/>
      <c r="E190" s="24" t="s">
        <v>467</v>
      </c>
      <c r="F190" s="24">
        <v>2</v>
      </c>
      <c r="G190" s="24">
        <v>3</v>
      </c>
      <c r="H190" s="37">
        <v>1565.2</v>
      </c>
      <c r="I190" s="37">
        <v>1409.96</v>
      </c>
      <c r="J190" s="37">
        <v>1296.36</v>
      </c>
      <c r="K190" s="36">
        <v>71</v>
      </c>
      <c r="L190" s="24" t="s">
        <v>489</v>
      </c>
      <c r="M190" s="37">
        <v>3084976.53</v>
      </c>
      <c r="N190" s="37"/>
      <c r="O190" s="37"/>
      <c r="P190" s="37"/>
      <c r="Q190" s="37">
        <v>3084976.53</v>
      </c>
      <c r="R190" s="29">
        <f t="shared" si="18"/>
        <v>2187.9886876223436</v>
      </c>
      <c r="S190" s="29">
        <v>14736.15</v>
      </c>
      <c r="T190" s="29" t="s">
        <v>1359</v>
      </c>
      <c r="U190" s="118">
        <v>6.3</v>
      </c>
      <c r="V190" s="296">
        <v>2018</v>
      </c>
    </row>
    <row r="191" spans="1:22" s="2" customFormat="1" ht="45">
      <c r="A191" s="70">
        <v>123</v>
      </c>
      <c r="B191" s="34" t="s">
        <v>1197</v>
      </c>
      <c r="C191" s="24">
        <v>1952</v>
      </c>
      <c r="D191" s="24"/>
      <c r="E191" s="24" t="s">
        <v>374</v>
      </c>
      <c r="F191" s="24">
        <v>2</v>
      </c>
      <c r="G191" s="24">
        <v>1</v>
      </c>
      <c r="H191" s="37">
        <v>572.81</v>
      </c>
      <c r="I191" s="37">
        <v>452.3</v>
      </c>
      <c r="J191" s="37">
        <v>419.02</v>
      </c>
      <c r="K191" s="36">
        <v>29</v>
      </c>
      <c r="L191" s="24" t="s">
        <v>489</v>
      </c>
      <c r="M191" s="37">
        <v>1271835.37</v>
      </c>
      <c r="N191" s="37"/>
      <c r="O191" s="37"/>
      <c r="P191" s="37"/>
      <c r="Q191" s="37">
        <v>1271835.37</v>
      </c>
      <c r="R191" s="29">
        <f t="shared" si="18"/>
        <v>2811.928741985408</v>
      </c>
      <c r="S191" s="29">
        <v>14736.15</v>
      </c>
      <c r="T191" s="29" t="s">
        <v>1359</v>
      </c>
      <c r="U191" s="118">
        <v>6.3</v>
      </c>
      <c r="V191" s="296">
        <v>2018</v>
      </c>
    </row>
    <row r="192" spans="1:22" s="2" customFormat="1" ht="45">
      <c r="A192" s="70">
        <v>124</v>
      </c>
      <c r="B192" s="34" t="s">
        <v>1198</v>
      </c>
      <c r="C192" s="24">
        <v>1959</v>
      </c>
      <c r="D192" s="24"/>
      <c r="E192" s="24" t="s">
        <v>467</v>
      </c>
      <c r="F192" s="24">
        <v>2</v>
      </c>
      <c r="G192" s="24">
        <v>1</v>
      </c>
      <c r="H192" s="37">
        <v>277.2</v>
      </c>
      <c r="I192" s="37">
        <v>277.2</v>
      </c>
      <c r="J192" s="37">
        <v>277.2</v>
      </c>
      <c r="K192" s="36">
        <v>19</v>
      </c>
      <c r="L192" s="24" t="s">
        <v>489</v>
      </c>
      <c r="M192" s="37">
        <v>609733.81</v>
      </c>
      <c r="N192" s="37"/>
      <c r="O192" s="37"/>
      <c r="P192" s="37"/>
      <c r="Q192" s="37">
        <v>609733.81</v>
      </c>
      <c r="R192" s="29">
        <f t="shared" si="18"/>
        <v>2199.6169191919194</v>
      </c>
      <c r="S192" s="29">
        <v>14736.15</v>
      </c>
      <c r="T192" s="29" t="s">
        <v>1359</v>
      </c>
      <c r="U192" s="118">
        <v>6.3</v>
      </c>
      <c r="V192" s="296">
        <v>2018</v>
      </c>
    </row>
    <row r="193" spans="1:22" s="2" customFormat="1" ht="45">
      <c r="A193" s="70">
        <v>125</v>
      </c>
      <c r="B193" s="34" t="s">
        <v>1199</v>
      </c>
      <c r="C193" s="24">
        <v>1953</v>
      </c>
      <c r="D193" s="24"/>
      <c r="E193" s="24" t="s">
        <v>374</v>
      </c>
      <c r="F193" s="24">
        <v>2</v>
      </c>
      <c r="G193" s="24">
        <v>1</v>
      </c>
      <c r="H193" s="37">
        <v>565.45</v>
      </c>
      <c r="I193" s="37">
        <v>520.17</v>
      </c>
      <c r="J193" s="37">
        <v>235.96</v>
      </c>
      <c r="K193" s="36">
        <v>16</v>
      </c>
      <c r="L193" s="24" t="s">
        <v>489</v>
      </c>
      <c r="M193" s="37">
        <v>1278567.78</v>
      </c>
      <c r="N193" s="37"/>
      <c r="O193" s="37"/>
      <c r="P193" s="37"/>
      <c r="Q193" s="37">
        <v>1278567.78</v>
      </c>
      <c r="R193" s="29">
        <f t="shared" si="18"/>
        <v>2457.9806217198225</v>
      </c>
      <c r="S193" s="29">
        <v>14736.15</v>
      </c>
      <c r="T193" s="29" t="s">
        <v>1359</v>
      </c>
      <c r="U193" s="118">
        <v>6.3</v>
      </c>
      <c r="V193" s="296">
        <v>2018</v>
      </c>
    </row>
    <row r="194" spans="1:22" s="2" customFormat="1" ht="45">
      <c r="A194" s="70">
        <v>126</v>
      </c>
      <c r="B194" s="34" t="s">
        <v>1200</v>
      </c>
      <c r="C194" s="24">
        <v>1959</v>
      </c>
      <c r="D194" s="24"/>
      <c r="E194" s="24" t="s">
        <v>467</v>
      </c>
      <c r="F194" s="24">
        <v>2</v>
      </c>
      <c r="G194" s="24">
        <v>1</v>
      </c>
      <c r="H194" s="37">
        <v>277.65</v>
      </c>
      <c r="I194" s="37">
        <v>264.75</v>
      </c>
      <c r="J194" s="37">
        <v>198.59</v>
      </c>
      <c r="K194" s="36">
        <v>16</v>
      </c>
      <c r="L194" s="24" t="s">
        <v>489</v>
      </c>
      <c r="M194" s="37">
        <v>611041.06</v>
      </c>
      <c r="N194" s="37"/>
      <c r="O194" s="37"/>
      <c r="P194" s="37"/>
      <c r="Q194" s="37">
        <v>611041.06</v>
      </c>
      <c r="R194" s="29">
        <f t="shared" si="18"/>
        <v>2307.9926723323892</v>
      </c>
      <c r="S194" s="29">
        <v>14736.15</v>
      </c>
      <c r="T194" s="29" t="s">
        <v>1359</v>
      </c>
      <c r="U194" s="118">
        <v>6.3</v>
      </c>
      <c r="V194" s="296">
        <v>2018</v>
      </c>
    </row>
    <row r="195" spans="1:22" s="2" customFormat="1" ht="45">
      <c r="A195" s="70">
        <v>127</v>
      </c>
      <c r="B195" s="34" t="s">
        <v>1201</v>
      </c>
      <c r="C195" s="24">
        <v>1958</v>
      </c>
      <c r="D195" s="24"/>
      <c r="E195" s="24" t="s">
        <v>467</v>
      </c>
      <c r="F195" s="24">
        <v>2</v>
      </c>
      <c r="G195" s="24">
        <v>1</v>
      </c>
      <c r="H195" s="37">
        <v>276.15</v>
      </c>
      <c r="I195" s="37">
        <v>266.69</v>
      </c>
      <c r="J195" s="37">
        <v>266.69</v>
      </c>
      <c r="K195" s="36">
        <v>13</v>
      </c>
      <c r="L195" s="24" t="s">
        <v>489</v>
      </c>
      <c r="M195" s="37">
        <v>611021.15</v>
      </c>
      <c r="N195" s="37"/>
      <c r="O195" s="37"/>
      <c r="P195" s="37"/>
      <c r="Q195" s="37">
        <v>611021.15</v>
      </c>
      <c r="R195" s="29">
        <f t="shared" si="18"/>
        <v>2291.1288387266113</v>
      </c>
      <c r="S195" s="29">
        <v>14736.15</v>
      </c>
      <c r="T195" s="29" t="s">
        <v>1359</v>
      </c>
      <c r="U195" s="118">
        <v>6.3</v>
      </c>
      <c r="V195" s="296">
        <v>2018</v>
      </c>
    </row>
    <row r="196" spans="1:22" s="2" customFormat="1" ht="45">
      <c r="A196" s="70">
        <v>128</v>
      </c>
      <c r="B196" s="34" t="s">
        <v>1202</v>
      </c>
      <c r="C196" s="24">
        <v>1958</v>
      </c>
      <c r="D196" s="24"/>
      <c r="E196" s="24" t="s">
        <v>467</v>
      </c>
      <c r="F196" s="24">
        <v>2</v>
      </c>
      <c r="G196" s="24">
        <v>1</v>
      </c>
      <c r="H196" s="37">
        <v>276.65</v>
      </c>
      <c r="I196" s="37">
        <v>265.83</v>
      </c>
      <c r="J196" s="37">
        <v>265.83</v>
      </c>
      <c r="K196" s="36">
        <v>24</v>
      </c>
      <c r="L196" s="24" t="s">
        <v>489</v>
      </c>
      <c r="M196" s="37">
        <v>604921.41</v>
      </c>
      <c r="N196" s="37"/>
      <c r="O196" s="37"/>
      <c r="P196" s="37"/>
      <c r="Q196" s="37">
        <v>604921.41</v>
      </c>
      <c r="R196" s="29">
        <f t="shared" si="18"/>
        <v>2275.5949667080467</v>
      </c>
      <c r="S196" s="29">
        <v>14736.15</v>
      </c>
      <c r="T196" s="29" t="s">
        <v>1359</v>
      </c>
      <c r="U196" s="118">
        <v>6.3</v>
      </c>
      <c r="V196" s="296">
        <v>2018</v>
      </c>
    </row>
    <row r="197" spans="1:22" s="2" customFormat="1" ht="45">
      <c r="A197" s="70">
        <v>129</v>
      </c>
      <c r="B197" s="34" t="s">
        <v>1203</v>
      </c>
      <c r="C197" s="24">
        <v>1959</v>
      </c>
      <c r="D197" s="24"/>
      <c r="E197" s="24" t="s">
        <v>374</v>
      </c>
      <c r="F197" s="24">
        <v>2</v>
      </c>
      <c r="G197" s="24">
        <v>1</v>
      </c>
      <c r="H197" s="37">
        <v>254.15</v>
      </c>
      <c r="I197" s="37">
        <v>254.15</v>
      </c>
      <c r="J197" s="37">
        <v>162.97</v>
      </c>
      <c r="K197" s="36">
        <v>26</v>
      </c>
      <c r="L197" s="24" t="s">
        <v>489</v>
      </c>
      <c r="M197" s="37">
        <v>635730.12</v>
      </c>
      <c r="N197" s="37"/>
      <c r="O197" s="37"/>
      <c r="P197" s="37"/>
      <c r="Q197" s="37">
        <v>635730.12</v>
      </c>
      <c r="R197" s="29">
        <f t="shared" si="18"/>
        <v>2501.3972850678733</v>
      </c>
      <c r="S197" s="29">
        <v>14736.15</v>
      </c>
      <c r="T197" s="29" t="s">
        <v>1359</v>
      </c>
      <c r="U197" s="118">
        <v>6.3</v>
      </c>
      <c r="V197" s="296">
        <v>2018</v>
      </c>
    </row>
    <row r="198" spans="1:22" s="2" customFormat="1" ht="45">
      <c r="A198" s="70">
        <v>130</v>
      </c>
      <c r="B198" s="34" t="s">
        <v>1204</v>
      </c>
      <c r="C198" s="24">
        <v>1958</v>
      </c>
      <c r="D198" s="24"/>
      <c r="E198" s="24" t="s">
        <v>374</v>
      </c>
      <c r="F198" s="24">
        <v>2</v>
      </c>
      <c r="G198" s="24">
        <v>1</v>
      </c>
      <c r="H198" s="37">
        <v>254.15</v>
      </c>
      <c r="I198" s="37">
        <v>254.15</v>
      </c>
      <c r="J198" s="37">
        <v>191.14</v>
      </c>
      <c r="K198" s="36">
        <v>81</v>
      </c>
      <c r="L198" s="24" t="s">
        <v>489</v>
      </c>
      <c r="M198" s="37">
        <v>611041.06</v>
      </c>
      <c r="N198" s="37"/>
      <c r="O198" s="37"/>
      <c r="P198" s="37"/>
      <c r="Q198" s="37">
        <v>611041.06</v>
      </c>
      <c r="R198" s="29">
        <f t="shared" si="18"/>
        <v>2404.253629746213</v>
      </c>
      <c r="S198" s="29">
        <v>14736.15</v>
      </c>
      <c r="T198" s="29" t="s">
        <v>1359</v>
      </c>
      <c r="U198" s="118">
        <v>6.3</v>
      </c>
      <c r="V198" s="296">
        <v>2018</v>
      </c>
    </row>
    <row r="199" spans="1:22" s="2" customFormat="1" ht="45">
      <c r="A199" s="70">
        <v>131</v>
      </c>
      <c r="B199" s="34" t="s">
        <v>66</v>
      </c>
      <c r="C199" s="24">
        <v>1955</v>
      </c>
      <c r="D199" s="24"/>
      <c r="E199" s="24" t="s">
        <v>374</v>
      </c>
      <c r="F199" s="24">
        <v>3</v>
      </c>
      <c r="G199" s="24">
        <v>3</v>
      </c>
      <c r="H199" s="37">
        <v>1690.63</v>
      </c>
      <c r="I199" s="37">
        <v>1960.63</v>
      </c>
      <c r="J199" s="37">
        <v>1328.4</v>
      </c>
      <c r="K199" s="36">
        <v>56</v>
      </c>
      <c r="L199" s="24" t="s">
        <v>489</v>
      </c>
      <c r="M199" s="37">
        <v>3073386.12</v>
      </c>
      <c r="N199" s="37"/>
      <c r="O199" s="37"/>
      <c r="P199" s="37"/>
      <c r="Q199" s="37">
        <v>3073386.12</v>
      </c>
      <c r="R199" s="29">
        <f t="shared" si="18"/>
        <v>1567.550287407619</v>
      </c>
      <c r="S199" s="29">
        <v>14736.15</v>
      </c>
      <c r="T199" s="29" t="s">
        <v>1359</v>
      </c>
      <c r="U199" s="118">
        <v>6.3</v>
      </c>
      <c r="V199" s="296">
        <v>2018</v>
      </c>
    </row>
    <row r="200" spans="1:22" s="2" customFormat="1" ht="45">
      <c r="A200" s="70">
        <v>132</v>
      </c>
      <c r="B200" s="34" t="s">
        <v>1205</v>
      </c>
      <c r="C200" s="24">
        <v>1957</v>
      </c>
      <c r="D200" s="24"/>
      <c r="E200" s="24" t="s">
        <v>374</v>
      </c>
      <c r="F200" s="24">
        <v>3</v>
      </c>
      <c r="G200" s="24">
        <v>3</v>
      </c>
      <c r="H200" s="37">
        <v>1882.41</v>
      </c>
      <c r="I200" s="37">
        <v>1730.4</v>
      </c>
      <c r="J200" s="37">
        <v>1730.4</v>
      </c>
      <c r="K200" s="36">
        <v>30</v>
      </c>
      <c r="L200" s="24" t="s">
        <v>489</v>
      </c>
      <c r="M200" s="37">
        <v>2650339.18</v>
      </c>
      <c r="N200" s="37"/>
      <c r="O200" s="37"/>
      <c r="P200" s="37"/>
      <c r="Q200" s="37">
        <v>2650339.18</v>
      </c>
      <c r="R200" s="29">
        <f t="shared" si="18"/>
        <v>1531.6338303282478</v>
      </c>
      <c r="S200" s="29">
        <v>14736.15</v>
      </c>
      <c r="T200" s="29" t="s">
        <v>1359</v>
      </c>
      <c r="U200" s="118">
        <v>6.3</v>
      </c>
      <c r="V200" s="296">
        <v>2018</v>
      </c>
    </row>
    <row r="201" spans="1:22" s="2" customFormat="1" ht="45">
      <c r="A201" s="70">
        <v>133</v>
      </c>
      <c r="B201" s="34" t="s">
        <v>1206</v>
      </c>
      <c r="C201" s="24">
        <v>1958</v>
      </c>
      <c r="D201" s="24"/>
      <c r="E201" s="24" t="s">
        <v>374</v>
      </c>
      <c r="F201" s="24">
        <v>2</v>
      </c>
      <c r="G201" s="24">
        <v>1</v>
      </c>
      <c r="H201" s="37">
        <v>439.58</v>
      </c>
      <c r="I201" s="37">
        <v>402.24</v>
      </c>
      <c r="J201" s="37">
        <v>402.24</v>
      </c>
      <c r="K201" s="36">
        <v>8</v>
      </c>
      <c r="L201" s="24" t="s">
        <v>489</v>
      </c>
      <c r="M201" s="37">
        <v>793456.24</v>
      </c>
      <c r="N201" s="37"/>
      <c r="O201" s="37"/>
      <c r="P201" s="37"/>
      <c r="Q201" s="37">
        <v>793456.24</v>
      </c>
      <c r="R201" s="29">
        <f t="shared" si="18"/>
        <v>1972.594073190135</v>
      </c>
      <c r="S201" s="29">
        <v>14736.15</v>
      </c>
      <c r="T201" s="29" t="s">
        <v>1359</v>
      </c>
      <c r="U201" s="118">
        <v>6.3</v>
      </c>
      <c r="V201" s="296">
        <v>2018</v>
      </c>
    </row>
    <row r="202" spans="1:22" s="2" customFormat="1" ht="45">
      <c r="A202" s="70">
        <v>134</v>
      </c>
      <c r="B202" s="34" t="s">
        <v>1207</v>
      </c>
      <c r="C202" s="24">
        <v>1955</v>
      </c>
      <c r="D202" s="24"/>
      <c r="E202" s="24" t="s">
        <v>374</v>
      </c>
      <c r="F202" s="24">
        <v>3</v>
      </c>
      <c r="G202" s="24">
        <v>3</v>
      </c>
      <c r="H202" s="37">
        <v>2082.82</v>
      </c>
      <c r="I202" s="37">
        <v>2032.78</v>
      </c>
      <c r="J202" s="37">
        <v>2032.78</v>
      </c>
      <c r="K202" s="36">
        <v>61</v>
      </c>
      <c r="L202" s="24" t="s">
        <v>489</v>
      </c>
      <c r="M202" s="37">
        <v>2846922.38</v>
      </c>
      <c r="N202" s="37"/>
      <c r="O202" s="37"/>
      <c r="P202" s="37"/>
      <c r="Q202" s="37">
        <v>2846922.38</v>
      </c>
      <c r="R202" s="29">
        <f t="shared" si="18"/>
        <v>1400.50688220073</v>
      </c>
      <c r="S202" s="29">
        <v>14736.15</v>
      </c>
      <c r="T202" s="29" t="s">
        <v>1359</v>
      </c>
      <c r="U202" s="118">
        <v>6.3</v>
      </c>
      <c r="V202" s="296">
        <v>2018</v>
      </c>
    </row>
    <row r="203" spans="1:22" s="2" customFormat="1" ht="45">
      <c r="A203" s="70">
        <v>135</v>
      </c>
      <c r="B203" s="34" t="s">
        <v>1208</v>
      </c>
      <c r="C203" s="24">
        <v>1955</v>
      </c>
      <c r="D203" s="34"/>
      <c r="E203" s="24" t="s">
        <v>374</v>
      </c>
      <c r="F203" s="24">
        <v>2</v>
      </c>
      <c r="G203" s="24">
        <v>3</v>
      </c>
      <c r="H203" s="37">
        <v>1381.69</v>
      </c>
      <c r="I203" s="37">
        <v>1204.8</v>
      </c>
      <c r="J203" s="37">
        <v>1067.8</v>
      </c>
      <c r="K203" s="36">
        <v>46</v>
      </c>
      <c r="L203" s="24" t="s">
        <v>489</v>
      </c>
      <c r="M203" s="37">
        <v>2765161.42</v>
      </c>
      <c r="N203" s="34"/>
      <c r="O203" s="37"/>
      <c r="P203" s="37"/>
      <c r="Q203" s="37">
        <v>2765161.42</v>
      </c>
      <c r="R203" s="29">
        <f t="shared" si="18"/>
        <v>2295.1207005312085</v>
      </c>
      <c r="S203" s="29">
        <v>14736.15</v>
      </c>
      <c r="T203" s="29" t="s">
        <v>1359</v>
      </c>
      <c r="U203" s="118">
        <v>6.3</v>
      </c>
      <c r="V203" s="296">
        <v>2018</v>
      </c>
    </row>
    <row r="204" spans="1:22" s="2" customFormat="1" ht="45">
      <c r="A204" s="70">
        <v>136</v>
      </c>
      <c r="B204" s="34" t="s">
        <v>1209</v>
      </c>
      <c r="C204" s="24">
        <v>1951</v>
      </c>
      <c r="D204" s="24"/>
      <c r="E204" s="24" t="s">
        <v>374</v>
      </c>
      <c r="F204" s="24">
        <v>2</v>
      </c>
      <c r="G204" s="24">
        <v>1</v>
      </c>
      <c r="H204" s="37">
        <v>363.07</v>
      </c>
      <c r="I204" s="37">
        <v>362.39</v>
      </c>
      <c r="J204" s="37">
        <v>362.39</v>
      </c>
      <c r="K204" s="36">
        <v>13</v>
      </c>
      <c r="L204" s="24" t="s">
        <v>489</v>
      </c>
      <c r="M204" s="37">
        <v>765394.4400000001</v>
      </c>
      <c r="N204" s="37"/>
      <c r="O204" s="37"/>
      <c r="P204" s="37"/>
      <c r="Q204" s="37">
        <v>765394.4400000001</v>
      </c>
      <c r="R204" s="29">
        <f t="shared" si="18"/>
        <v>2112.073843097216</v>
      </c>
      <c r="S204" s="29">
        <v>14736.15</v>
      </c>
      <c r="T204" s="29" t="s">
        <v>1359</v>
      </c>
      <c r="U204" s="118">
        <v>6.3</v>
      </c>
      <c r="V204" s="296">
        <v>2018</v>
      </c>
    </row>
    <row r="205" spans="1:22" s="2" customFormat="1" ht="45">
      <c r="A205" s="70">
        <v>137</v>
      </c>
      <c r="B205" s="34" t="s">
        <v>1210</v>
      </c>
      <c r="C205" s="24">
        <v>1953</v>
      </c>
      <c r="D205" s="24"/>
      <c r="E205" s="24" t="s">
        <v>374</v>
      </c>
      <c r="F205" s="24">
        <v>3</v>
      </c>
      <c r="G205" s="24">
        <v>1</v>
      </c>
      <c r="H205" s="37">
        <v>397.24</v>
      </c>
      <c r="I205" s="37">
        <v>360.93</v>
      </c>
      <c r="J205" s="37">
        <v>360.93</v>
      </c>
      <c r="K205" s="36">
        <v>17</v>
      </c>
      <c r="L205" s="24" t="s">
        <v>489</v>
      </c>
      <c r="M205" s="37">
        <v>760157.64</v>
      </c>
      <c r="N205" s="37"/>
      <c r="O205" s="37"/>
      <c r="P205" s="37"/>
      <c r="Q205" s="37">
        <v>760157.64</v>
      </c>
      <c r="R205" s="29">
        <f t="shared" si="18"/>
        <v>2106.1082204305544</v>
      </c>
      <c r="S205" s="29">
        <v>14736.15</v>
      </c>
      <c r="T205" s="29" t="s">
        <v>1359</v>
      </c>
      <c r="U205" s="118">
        <v>6.3</v>
      </c>
      <c r="V205" s="296">
        <v>2018</v>
      </c>
    </row>
    <row r="206" spans="1:22" s="2" customFormat="1" ht="45">
      <c r="A206" s="70">
        <v>138</v>
      </c>
      <c r="B206" s="34" t="s">
        <v>1211</v>
      </c>
      <c r="C206" s="24">
        <v>1953</v>
      </c>
      <c r="D206" s="24"/>
      <c r="E206" s="24" t="s">
        <v>374</v>
      </c>
      <c r="F206" s="24">
        <v>2</v>
      </c>
      <c r="G206" s="24">
        <v>3</v>
      </c>
      <c r="H206" s="37">
        <v>1305.18</v>
      </c>
      <c r="I206" s="37">
        <v>1392.43</v>
      </c>
      <c r="J206" s="37">
        <v>1278.43</v>
      </c>
      <c r="K206" s="36">
        <v>59</v>
      </c>
      <c r="L206" s="24" t="s">
        <v>489</v>
      </c>
      <c r="M206" s="37">
        <v>2873450.82</v>
      </c>
      <c r="N206" s="37"/>
      <c r="O206" s="37"/>
      <c r="P206" s="37"/>
      <c r="Q206" s="37">
        <v>2873450.82</v>
      </c>
      <c r="R206" s="29">
        <f t="shared" si="18"/>
        <v>2063.6231767485615</v>
      </c>
      <c r="S206" s="29">
        <v>14736.15</v>
      </c>
      <c r="T206" s="29" t="s">
        <v>1359</v>
      </c>
      <c r="U206" s="118">
        <v>6.3</v>
      </c>
      <c r="V206" s="296">
        <v>2018</v>
      </c>
    </row>
    <row r="207" spans="1:22" s="2" customFormat="1" ht="45">
      <c r="A207" s="70">
        <v>139</v>
      </c>
      <c r="B207" s="34" t="s">
        <v>465</v>
      </c>
      <c r="C207" s="24">
        <v>1957</v>
      </c>
      <c r="D207" s="24"/>
      <c r="E207" s="24" t="s">
        <v>374</v>
      </c>
      <c r="F207" s="24">
        <v>3</v>
      </c>
      <c r="G207" s="24">
        <v>3</v>
      </c>
      <c r="H207" s="37">
        <v>696.91</v>
      </c>
      <c r="I207" s="37">
        <v>696.91</v>
      </c>
      <c r="J207" s="37">
        <v>663.27</v>
      </c>
      <c r="K207" s="36">
        <v>53</v>
      </c>
      <c r="L207" s="24" t="s">
        <v>489</v>
      </c>
      <c r="M207" s="37">
        <v>1666275.3</v>
      </c>
      <c r="N207" s="37"/>
      <c r="O207" s="37"/>
      <c r="P207" s="37"/>
      <c r="Q207" s="37">
        <v>1666275.3</v>
      </c>
      <c r="R207" s="29">
        <f t="shared" si="18"/>
        <v>2390.9476115997763</v>
      </c>
      <c r="S207" s="29">
        <v>14736.15</v>
      </c>
      <c r="T207" s="29" t="s">
        <v>1359</v>
      </c>
      <c r="U207" s="118">
        <v>6.3</v>
      </c>
      <c r="V207" s="296">
        <v>2018</v>
      </c>
    </row>
    <row r="208" spans="1:22" s="2" customFormat="1" ht="45">
      <c r="A208" s="70">
        <v>140</v>
      </c>
      <c r="B208" s="34" t="s">
        <v>466</v>
      </c>
      <c r="C208" s="24">
        <v>1959</v>
      </c>
      <c r="D208" s="24"/>
      <c r="E208" s="24" t="s">
        <v>374</v>
      </c>
      <c r="F208" s="24">
        <v>4</v>
      </c>
      <c r="G208" s="24">
        <v>4</v>
      </c>
      <c r="H208" s="37">
        <v>2530.8</v>
      </c>
      <c r="I208" s="37">
        <v>2530.8</v>
      </c>
      <c r="J208" s="37">
        <v>2403.9</v>
      </c>
      <c r="K208" s="36">
        <v>115</v>
      </c>
      <c r="L208" s="24" t="s">
        <v>489</v>
      </c>
      <c r="M208" s="37">
        <v>2853881.28</v>
      </c>
      <c r="N208" s="37"/>
      <c r="O208" s="37"/>
      <c r="P208" s="37"/>
      <c r="Q208" s="37">
        <v>2853881.28</v>
      </c>
      <c r="R208" s="29">
        <f t="shared" si="18"/>
        <v>1127.6597439544807</v>
      </c>
      <c r="S208" s="29">
        <v>14736.15</v>
      </c>
      <c r="T208" s="29" t="s">
        <v>1359</v>
      </c>
      <c r="U208" s="118">
        <v>6.3</v>
      </c>
      <c r="V208" s="296">
        <v>2018</v>
      </c>
    </row>
    <row r="209" spans="1:22" s="2" customFormat="1" ht="45">
      <c r="A209" s="70">
        <v>141</v>
      </c>
      <c r="B209" s="34" t="s">
        <v>1526</v>
      </c>
      <c r="C209" s="24">
        <v>1986</v>
      </c>
      <c r="D209" s="24"/>
      <c r="E209" s="24" t="s">
        <v>374</v>
      </c>
      <c r="F209" s="24">
        <v>2</v>
      </c>
      <c r="G209" s="24">
        <v>2</v>
      </c>
      <c r="H209" s="37">
        <v>611.4</v>
      </c>
      <c r="I209" s="37">
        <v>598.4</v>
      </c>
      <c r="J209" s="37">
        <v>598.4</v>
      </c>
      <c r="K209" s="36">
        <v>12</v>
      </c>
      <c r="L209" s="24" t="s">
        <v>489</v>
      </c>
      <c r="M209" s="37">
        <v>750854.24</v>
      </c>
      <c r="N209" s="37"/>
      <c r="O209" s="37"/>
      <c r="P209" s="37"/>
      <c r="Q209" s="37">
        <v>750854.24</v>
      </c>
      <c r="R209" s="29">
        <f t="shared" si="18"/>
        <v>1254.7697860962567</v>
      </c>
      <c r="S209" s="29">
        <v>14736.15</v>
      </c>
      <c r="T209" s="29" t="s">
        <v>1359</v>
      </c>
      <c r="U209" s="118">
        <v>6.3</v>
      </c>
      <c r="V209" s="296">
        <v>2018</v>
      </c>
    </row>
    <row r="210" spans="1:22" s="2" customFormat="1" ht="45">
      <c r="A210" s="70">
        <v>142</v>
      </c>
      <c r="B210" s="34" t="s">
        <v>1223</v>
      </c>
      <c r="C210" s="24">
        <v>1987</v>
      </c>
      <c r="D210" s="24"/>
      <c r="E210" s="24" t="s">
        <v>374</v>
      </c>
      <c r="F210" s="24">
        <v>2</v>
      </c>
      <c r="G210" s="24">
        <v>2</v>
      </c>
      <c r="H210" s="37">
        <v>609.8</v>
      </c>
      <c r="I210" s="37">
        <v>597</v>
      </c>
      <c r="J210" s="37">
        <v>558.5</v>
      </c>
      <c r="K210" s="36">
        <v>12</v>
      </c>
      <c r="L210" s="24" t="s">
        <v>489</v>
      </c>
      <c r="M210" s="37">
        <v>755305.3099999999</v>
      </c>
      <c r="N210" s="37"/>
      <c r="O210" s="37"/>
      <c r="P210" s="37"/>
      <c r="Q210" s="37">
        <v>755305.3099999999</v>
      </c>
      <c r="R210" s="29">
        <f t="shared" si="18"/>
        <v>1265.1680234505861</v>
      </c>
      <c r="S210" s="29">
        <v>14736.15</v>
      </c>
      <c r="T210" s="29" t="s">
        <v>1359</v>
      </c>
      <c r="U210" s="118">
        <v>6.3</v>
      </c>
      <c r="V210" s="296">
        <v>2018</v>
      </c>
    </row>
    <row r="211" spans="1:22" s="2" customFormat="1" ht="45">
      <c r="A211" s="70">
        <v>143</v>
      </c>
      <c r="B211" s="34" t="s">
        <v>77</v>
      </c>
      <c r="C211" s="24">
        <v>1969</v>
      </c>
      <c r="D211" s="24"/>
      <c r="E211" s="24" t="s">
        <v>374</v>
      </c>
      <c r="F211" s="24">
        <v>5</v>
      </c>
      <c r="G211" s="24">
        <v>4</v>
      </c>
      <c r="H211" s="37">
        <v>3592.71</v>
      </c>
      <c r="I211" s="37">
        <v>3305.06</v>
      </c>
      <c r="J211" s="37">
        <v>2894.56</v>
      </c>
      <c r="K211" s="36">
        <v>194</v>
      </c>
      <c r="L211" s="24" t="s">
        <v>489</v>
      </c>
      <c r="M211" s="37">
        <v>1444473.25</v>
      </c>
      <c r="N211" s="37"/>
      <c r="O211" s="37"/>
      <c r="P211" s="37"/>
      <c r="Q211" s="37">
        <v>1444473.25</v>
      </c>
      <c r="R211" s="29">
        <f t="shared" si="18"/>
        <v>437.04902482859615</v>
      </c>
      <c r="S211" s="29">
        <v>14736.15</v>
      </c>
      <c r="T211" s="29" t="s">
        <v>1359</v>
      </c>
      <c r="U211" s="118">
        <v>6.3</v>
      </c>
      <c r="V211" s="296">
        <v>2018</v>
      </c>
    </row>
    <row r="212" spans="1:22" s="2" customFormat="1" ht="45">
      <c r="A212" s="70">
        <v>144</v>
      </c>
      <c r="B212" s="34" t="s">
        <v>968</v>
      </c>
      <c r="C212" s="24">
        <v>1983</v>
      </c>
      <c r="D212" s="24"/>
      <c r="E212" s="24" t="s">
        <v>374</v>
      </c>
      <c r="F212" s="24">
        <v>2</v>
      </c>
      <c r="G212" s="24">
        <v>1</v>
      </c>
      <c r="H212" s="37">
        <v>376.03</v>
      </c>
      <c r="I212" s="37">
        <v>376.03</v>
      </c>
      <c r="J212" s="37">
        <v>376.03</v>
      </c>
      <c r="K212" s="36">
        <v>14</v>
      </c>
      <c r="L212" s="24" t="s">
        <v>489</v>
      </c>
      <c r="M212" s="37">
        <v>941368.71</v>
      </c>
      <c r="N212" s="37"/>
      <c r="O212" s="37"/>
      <c r="P212" s="37"/>
      <c r="Q212" s="37">
        <v>941368.71</v>
      </c>
      <c r="R212" s="29">
        <f>M212/I212</f>
        <v>2503.440443581629</v>
      </c>
      <c r="S212" s="29">
        <v>14736.15</v>
      </c>
      <c r="T212" s="29" t="s">
        <v>1359</v>
      </c>
      <c r="U212" s="118">
        <v>6.3</v>
      </c>
      <c r="V212" s="296">
        <v>2018</v>
      </c>
    </row>
    <row r="213" spans="1:22" s="2" customFormat="1" ht="45">
      <c r="A213" s="70">
        <v>145</v>
      </c>
      <c r="B213" s="34" t="s">
        <v>848</v>
      </c>
      <c r="C213" s="24">
        <v>1967</v>
      </c>
      <c r="D213" s="24"/>
      <c r="E213" s="24" t="s">
        <v>374</v>
      </c>
      <c r="F213" s="24">
        <v>5</v>
      </c>
      <c r="G213" s="24">
        <v>4</v>
      </c>
      <c r="H213" s="37">
        <v>3140.5</v>
      </c>
      <c r="I213" s="37">
        <v>2888.82</v>
      </c>
      <c r="J213" s="37">
        <v>2888.82</v>
      </c>
      <c r="K213" s="36">
        <v>160</v>
      </c>
      <c r="L213" s="24" t="s">
        <v>489</v>
      </c>
      <c r="M213" s="37">
        <v>2702898.57</v>
      </c>
      <c r="N213" s="37"/>
      <c r="O213" s="37"/>
      <c r="P213" s="37"/>
      <c r="Q213" s="37">
        <v>2702898.57</v>
      </c>
      <c r="R213" s="29">
        <f>M213/I213</f>
        <v>935.6410472095872</v>
      </c>
      <c r="S213" s="29">
        <v>14736.15</v>
      </c>
      <c r="T213" s="29" t="s">
        <v>1359</v>
      </c>
      <c r="U213" s="118">
        <v>6.3</v>
      </c>
      <c r="V213" s="296">
        <v>2018</v>
      </c>
    </row>
    <row r="214" spans="1:22" s="2" customFormat="1" ht="45">
      <c r="A214" s="70">
        <v>146</v>
      </c>
      <c r="B214" s="34" t="s">
        <v>1535</v>
      </c>
      <c r="C214" s="24">
        <v>1937</v>
      </c>
      <c r="D214" s="24"/>
      <c r="E214" s="24" t="s">
        <v>374</v>
      </c>
      <c r="F214" s="24">
        <v>4</v>
      </c>
      <c r="G214" s="24">
        <v>3</v>
      </c>
      <c r="H214" s="37">
        <v>1700.85</v>
      </c>
      <c r="I214" s="37">
        <v>1700.85</v>
      </c>
      <c r="J214" s="37">
        <v>1551.75</v>
      </c>
      <c r="K214" s="36">
        <v>65</v>
      </c>
      <c r="L214" s="24" t="s">
        <v>489</v>
      </c>
      <c r="M214" s="37">
        <v>2104146.2</v>
      </c>
      <c r="N214" s="37"/>
      <c r="O214" s="37"/>
      <c r="P214" s="37"/>
      <c r="Q214" s="37">
        <v>2104146.2</v>
      </c>
      <c r="R214" s="29">
        <f t="shared" si="18"/>
        <v>1237.1145015727432</v>
      </c>
      <c r="S214" s="29">
        <v>14736.15</v>
      </c>
      <c r="T214" s="29" t="s">
        <v>1359</v>
      </c>
      <c r="U214" s="118">
        <v>6.3</v>
      </c>
      <c r="V214" s="296">
        <v>2018</v>
      </c>
    </row>
    <row r="215" spans="1:22" s="2" customFormat="1" ht="15">
      <c r="A215" s="70"/>
      <c r="B215" s="112" t="s">
        <v>956</v>
      </c>
      <c r="C215" s="29"/>
      <c r="D215" s="29"/>
      <c r="E215" s="29"/>
      <c r="F215" s="29"/>
      <c r="G215" s="29"/>
      <c r="H215" s="81">
        <f>SUM(H185:H214)</f>
        <v>31175.289999999997</v>
      </c>
      <c r="I215" s="81">
        <f>SUM(I185:I214)</f>
        <v>30125.159999999996</v>
      </c>
      <c r="J215" s="81">
        <f>SUM(J185:J214)</f>
        <v>27458.820000000003</v>
      </c>
      <c r="K215" s="98">
        <f>SUM(K185:K214)</f>
        <v>1519</v>
      </c>
      <c r="L215" s="81"/>
      <c r="M215" s="81">
        <f>SUM(M185:M214)</f>
        <v>44730476.87000001</v>
      </c>
      <c r="N215" s="81"/>
      <c r="O215" s="81"/>
      <c r="P215" s="81"/>
      <c r="Q215" s="81">
        <f>SUM(Q185:Q214)</f>
        <v>44730476.87000001</v>
      </c>
      <c r="R215" s="96">
        <f t="shared" si="18"/>
        <v>1484.8212215304422</v>
      </c>
      <c r="S215" s="96"/>
      <c r="T215" s="76"/>
      <c r="U215" s="85"/>
      <c r="V215" s="296"/>
    </row>
    <row r="216" spans="1:22" s="2" customFormat="1" ht="15">
      <c r="A216" s="300" t="s">
        <v>1371</v>
      </c>
      <c r="B216" s="301"/>
      <c r="C216" s="301"/>
      <c r="D216" s="301"/>
      <c r="E216" s="301"/>
      <c r="F216" s="301"/>
      <c r="G216" s="301"/>
      <c r="H216" s="301"/>
      <c r="I216" s="301"/>
      <c r="J216" s="301"/>
      <c r="K216" s="301"/>
      <c r="L216" s="301"/>
      <c r="M216" s="301"/>
      <c r="N216" s="301"/>
      <c r="O216" s="301"/>
      <c r="P216" s="301"/>
      <c r="Q216" s="302"/>
      <c r="R216" s="301"/>
      <c r="S216" s="301"/>
      <c r="T216" s="301"/>
      <c r="U216" s="303"/>
      <c r="V216" s="296"/>
    </row>
    <row r="217" spans="1:22" s="2" customFormat="1" ht="105">
      <c r="A217" s="70">
        <v>147</v>
      </c>
      <c r="B217" s="99" t="s">
        <v>1536</v>
      </c>
      <c r="C217" s="35">
        <v>1962</v>
      </c>
      <c r="D217" s="29"/>
      <c r="E217" s="35" t="s">
        <v>374</v>
      </c>
      <c r="F217" s="35">
        <v>4</v>
      </c>
      <c r="G217" s="35">
        <v>3</v>
      </c>
      <c r="H217" s="37">
        <v>2350.25</v>
      </c>
      <c r="I217" s="37">
        <v>2350.25</v>
      </c>
      <c r="J217" s="37">
        <v>1749.65</v>
      </c>
      <c r="K217" s="36">
        <v>195</v>
      </c>
      <c r="L217" s="24" t="s">
        <v>1594</v>
      </c>
      <c r="M217" s="37">
        <v>3932419.42</v>
      </c>
      <c r="N217" s="37"/>
      <c r="O217" s="37"/>
      <c r="P217" s="37"/>
      <c r="Q217" s="37">
        <v>3932419.42</v>
      </c>
      <c r="R217" s="29">
        <f>M217/I217</f>
        <v>1673.1919668120413</v>
      </c>
      <c r="S217" s="29">
        <v>14736.15</v>
      </c>
      <c r="T217" s="29" t="s">
        <v>1359</v>
      </c>
      <c r="U217" s="118">
        <v>6.3</v>
      </c>
      <c r="V217" s="296">
        <v>2018</v>
      </c>
    </row>
    <row r="218" spans="1:22" s="2" customFormat="1" ht="90">
      <c r="A218" s="70">
        <v>148</v>
      </c>
      <c r="B218" s="99" t="s">
        <v>1537</v>
      </c>
      <c r="C218" s="35">
        <v>1963</v>
      </c>
      <c r="D218" s="29"/>
      <c r="E218" s="35" t="s">
        <v>374</v>
      </c>
      <c r="F218" s="35">
        <v>4</v>
      </c>
      <c r="G218" s="35">
        <v>3</v>
      </c>
      <c r="H218" s="37">
        <v>2331.59</v>
      </c>
      <c r="I218" s="37">
        <v>2331.59</v>
      </c>
      <c r="J218" s="37">
        <v>1971.5</v>
      </c>
      <c r="K218" s="36">
        <v>126</v>
      </c>
      <c r="L218" s="24" t="s">
        <v>839</v>
      </c>
      <c r="M218" s="37">
        <v>3435557.76</v>
      </c>
      <c r="N218" s="37"/>
      <c r="O218" s="37"/>
      <c r="P218" s="37"/>
      <c r="Q218" s="37">
        <v>3435557.76</v>
      </c>
      <c r="R218" s="29">
        <f aca="true" t="shared" si="19" ref="R218:R244">M218/I218</f>
        <v>1473.4827992914704</v>
      </c>
      <c r="S218" s="29">
        <v>14736.15</v>
      </c>
      <c r="T218" s="29" t="s">
        <v>1359</v>
      </c>
      <c r="U218" s="118">
        <v>6.3</v>
      </c>
      <c r="V218" s="296">
        <v>2018</v>
      </c>
    </row>
    <row r="219" spans="1:22" s="2" customFormat="1" ht="60">
      <c r="A219" s="70">
        <v>149</v>
      </c>
      <c r="B219" s="99" t="s">
        <v>1538</v>
      </c>
      <c r="C219" s="35">
        <v>1963</v>
      </c>
      <c r="D219" s="29"/>
      <c r="E219" s="35" t="s">
        <v>374</v>
      </c>
      <c r="F219" s="35">
        <v>4</v>
      </c>
      <c r="G219" s="35">
        <v>3</v>
      </c>
      <c r="H219" s="37">
        <v>2039.4</v>
      </c>
      <c r="I219" s="37">
        <v>2039.4</v>
      </c>
      <c r="J219" s="37">
        <v>1668.4</v>
      </c>
      <c r="K219" s="36">
        <v>157</v>
      </c>
      <c r="L219" s="24" t="s">
        <v>1609</v>
      </c>
      <c r="M219" s="37">
        <v>3986258.72</v>
      </c>
      <c r="N219" s="37"/>
      <c r="O219" s="37"/>
      <c r="P219" s="37"/>
      <c r="Q219" s="37">
        <v>3986258.72</v>
      </c>
      <c r="R219" s="29">
        <f t="shared" si="19"/>
        <v>1954.623281357262</v>
      </c>
      <c r="S219" s="29">
        <v>14736.15</v>
      </c>
      <c r="T219" s="29" t="s">
        <v>1359</v>
      </c>
      <c r="U219" s="118">
        <v>6.3</v>
      </c>
      <c r="V219" s="296">
        <v>2018</v>
      </c>
    </row>
    <row r="220" spans="1:22" s="2" customFormat="1" ht="135">
      <c r="A220" s="70">
        <v>150</v>
      </c>
      <c r="B220" s="99" t="s">
        <v>1539</v>
      </c>
      <c r="C220" s="35">
        <v>1963</v>
      </c>
      <c r="D220" s="29"/>
      <c r="E220" s="35" t="s">
        <v>374</v>
      </c>
      <c r="F220" s="35">
        <v>4</v>
      </c>
      <c r="G220" s="35">
        <v>3</v>
      </c>
      <c r="H220" s="37">
        <v>2359.01</v>
      </c>
      <c r="I220" s="37">
        <v>2359.01</v>
      </c>
      <c r="J220" s="37">
        <v>1994.51</v>
      </c>
      <c r="K220" s="36">
        <v>151</v>
      </c>
      <c r="L220" s="24" t="s">
        <v>278</v>
      </c>
      <c r="M220" s="37">
        <v>2846898.66</v>
      </c>
      <c r="N220" s="37"/>
      <c r="O220" s="37"/>
      <c r="P220" s="37"/>
      <c r="Q220" s="37">
        <v>2846898.66</v>
      </c>
      <c r="R220" s="29">
        <f t="shared" si="19"/>
        <v>1206.8192419701484</v>
      </c>
      <c r="S220" s="29">
        <v>14736.15</v>
      </c>
      <c r="T220" s="29" t="s">
        <v>1359</v>
      </c>
      <c r="U220" s="118">
        <v>6.3</v>
      </c>
      <c r="V220" s="296">
        <v>2018</v>
      </c>
    </row>
    <row r="221" spans="1:22" s="2" customFormat="1" ht="60">
      <c r="A221" s="70">
        <v>151</v>
      </c>
      <c r="B221" s="120" t="s">
        <v>616</v>
      </c>
      <c r="C221" s="35">
        <v>1963</v>
      </c>
      <c r="D221" s="29"/>
      <c r="E221" s="35" t="s">
        <v>374</v>
      </c>
      <c r="F221" s="35">
        <v>4</v>
      </c>
      <c r="G221" s="35">
        <v>3</v>
      </c>
      <c r="H221" s="37">
        <v>2187.7</v>
      </c>
      <c r="I221" s="37">
        <v>2187.7</v>
      </c>
      <c r="J221" s="37">
        <v>1857.5</v>
      </c>
      <c r="K221" s="36">
        <v>151</v>
      </c>
      <c r="L221" s="24" t="s">
        <v>1595</v>
      </c>
      <c r="M221" s="37">
        <v>3745683.91</v>
      </c>
      <c r="N221" s="37"/>
      <c r="O221" s="37"/>
      <c r="P221" s="37"/>
      <c r="Q221" s="37">
        <v>3745683.91</v>
      </c>
      <c r="R221" s="29">
        <f t="shared" si="19"/>
        <v>1712.1561045847238</v>
      </c>
      <c r="S221" s="29">
        <v>14736.15</v>
      </c>
      <c r="T221" s="29" t="s">
        <v>1359</v>
      </c>
      <c r="U221" s="118">
        <v>6.3</v>
      </c>
      <c r="V221" s="296">
        <v>2018</v>
      </c>
    </row>
    <row r="222" spans="1:22" s="2" customFormat="1" ht="45">
      <c r="A222" s="70">
        <v>152</v>
      </c>
      <c r="B222" s="99" t="s">
        <v>617</v>
      </c>
      <c r="C222" s="35">
        <v>1963</v>
      </c>
      <c r="D222" s="29"/>
      <c r="E222" s="35" t="s">
        <v>374</v>
      </c>
      <c r="F222" s="35">
        <v>4</v>
      </c>
      <c r="G222" s="35">
        <v>3</v>
      </c>
      <c r="H222" s="37">
        <v>2167.87</v>
      </c>
      <c r="I222" s="37">
        <v>2167.87</v>
      </c>
      <c r="J222" s="37">
        <v>1887.87</v>
      </c>
      <c r="K222" s="36">
        <v>126</v>
      </c>
      <c r="L222" s="24" t="s">
        <v>1607</v>
      </c>
      <c r="M222" s="37">
        <v>3405892.24</v>
      </c>
      <c r="N222" s="37"/>
      <c r="O222" s="37"/>
      <c r="P222" s="37"/>
      <c r="Q222" s="37">
        <v>3405892.24</v>
      </c>
      <c r="R222" s="29">
        <f t="shared" si="19"/>
        <v>1571.0777122244417</v>
      </c>
      <c r="S222" s="29">
        <v>14736.15</v>
      </c>
      <c r="T222" s="29" t="s">
        <v>1359</v>
      </c>
      <c r="U222" s="118">
        <v>6.3</v>
      </c>
      <c r="V222" s="296">
        <v>2018</v>
      </c>
    </row>
    <row r="223" spans="1:22" s="2" customFormat="1" ht="105">
      <c r="A223" s="70">
        <v>153</v>
      </c>
      <c r="B223" s="99" t="s">
        <v>1433</v>
      </c>
      <c r="C223" s="35">
        <v>1963</v>
      </c>
      <c r="D223" s="29"/>
      <c r="E223" s="35" t="s">
        <v>374</v>
      </c>
      <c r="F223" s="35">
        <v>4</v>
      </c>
      <c r="G223" s="35">
        <v>4</v>
      </c>
      <c r="H223" s="37">
        <v>2533.11</v>
      </c>
      <c r="I223" s="37">
        <v>2533.11</v>
      </c>
      <c r="J223" s="37">
        <v>2218</v>
      </c>
      <c r="K223" s="36">
        <v>105</v>
      </c>
      <c r="L223" s="24" t="s">
        <v>1596</v>
      </c>
      <c r="M223" s="37">
        <v>5681834.15</v>
      </c>
      <c r="N223" s="37"/>
      <c r="O223" s="37"/>
      <c r="P223" s="37"/>
      <c r="Q223" s="37">
        <v>5681834.15</v>
      </c>
      <c r="R223" s="29">
        <f t="shared" si="19"/>
        <v>2243.027010275906</v>
      </c>
      <c r="S223" s="29">
        <v>14736.15</v>
      </c>
      <c r="T223" s="29" t="s">
        <v>1359</v>
      </c>
      <c r="U223" s="118">
        <v>6.3</v>
      </c>
      <c r="V223" s="296">
        <v>2018</v>
      </c>
    </row>
    <row r="224" spans="1:22" s="2" customFormat="1" ht="105">
      <c r="A224" s="70">
        <v>154</v>
      </c>
      <c r="B224" s="99" t="s">
        <v>1585</v>
      </c>
      <c r="C224" s="35">
        <v>1964</v>
      </c>
      <c r="D224" s="29"/>
      <c r="E224" s="35" t="s">
        <v>374</v>
      </c>
      <c r="F224" s="35">
        <v>4</v>
      </c>
      <c r="G224" s="35">
        <v>4</v>
      </c>
      <c r="H224" s="37">
        <v>2497.1</v>
      </c>
      <c r="I224" s="37">
        <v>2497.1</v>
      </c>
      <c r="J224" s="37">
        <v>2113.8</v>
      </c>
      <c r="K224" s="36">
        <v>118</v>
      </c>
      <c r="L224" s="24" t="s">
        <v>1597</v>
      </c>
      <c r="M224" s="37">
        <v>4989180.55</v>
      </c>
      <c r="N224" s="37"/>
      <c r="O224" s="37"/>
      <c r="P224" s="37"/>
      <c r="Q224" s="37">
        <v>4989180.55</v>
      </c>
      <c r="R224" s="29">
        <f t="shared" si="19"/>
        <v>1997.9898882703937</v>
      </c>
      <c r="S224" s="29">
        <v>14736.15</v>
      </c>
      <c r="T224" s="29" t="s">
        <v>1359</v>
      </c>
      <c r="U224" s="118">
        <v>6.3</v>
      </c>
      <c r="V224" s="296">
        <v>2018</v>
      </c>
    </row>
    <row r="225" spans="1:22" s="2" customFormat="1" ht="45">
      <c r="A225" s="70">
        <v>155</v>
      </c>
      <c r="B225" s="99" t="s">
        <v>173</v>
      </c>
      <c r="C225" s="35">
        <v>1964</v>
      </c>
      <c r="D225" s="29"/>
      <c r="E225" s="35" t="s">
        <v>374</v>
      </c>
      <c r="F225" s="35">
        <v>4</v>
      </c>
      <c r="G225" s="35">
        <v>4</v>
      </c>
      <c r="H225" s="37">
        <v>2521.7</v>
      </c>
      <c r="I225" s="37">
        <v>2521.7</v>
      </c>
      <c r="J225" s="37">
        <v>2252.5</v>
      </c>
      <c r="K225" s="36">
        <v>133</v>
      </c>
      <c r="L225" s="24" t="s">
        <v>1598</v>
      </c>
      <c r="M225" s="37">
        <v>1560523.18</v>
      </c>
      <c r="N225" s="37"/>
      <c r="O225" s="37"/>
      <c r="P225" s="37"/>
      <c r="Q225" s="37">
        <v>1560523.18</v>
      </c>
      <c r="R225" s="29">
        <f t="shared" si="19"/>
        <v>618.8377602411072</v>
      </c>
      <c r="S225" s="29">
        <v>14736.15</v>
      </c>
      <c r="T225" s="29" t="s">
        <v>1359</v>
      </c>
      <c r="U225" s="118">
        <v>6.3</v>
      </c>
      <c r="V225" s="296">
        <v>2018</v>
      </c>
    </row>
    <row r="226" spans="1:22" s="2" customFormat="1" ht="105">
      <c r="A226" s="70">
        <v>156</v>
      </c>
      <c r="B226" s="120" t="s">
        <v>174</v>
      </c>
      <c r="C226" s="35">
        <v>1964</v>
      </c>
      <c r="D226" s="29"/>
      <c r="E226" s="35" t="s">
        <v>374</v>
      </c>
      <c r="F226" s="35">
        <v>4</v>
      </c>
      <c r="G226" s="35">
        <v>6</v>
      </c>
      <c r="H226" s="37">
        <v>3861.4</v>
      </c>
      <c r="I226" s="37">
        <v>3861.4</v>
      </c>
      <c r="J226" s="37">
        <v>3335.7</v>
      </c>
      <c r="K226" s="36">
        <v>224</v>
      </c>
      <c r="L226" s="24" t="s">
        <v>1599</v>
      </c>
      <c r="M226" s="37">
        <v>9300471.17</v>
      </c>
      <c r="N226" s="37"/>
      <c r="O226" s="37"/>
      <c r="P226" s="37"/>
      <c r="Q226" s="37">
        <v>9300471.17</v>
      </c>
      <c r="R226" s="29">
        <f t="shared" si="19"/>
        <v>2408.574913243901</v>
      </c>
      <c r="S226" s="29">
        <v>14736.15</v>
      </c>
      <c r="T226" s="29" t="s">
        <v>1359</v>
      </c>
      <c r="U226" s="118">
        <v>6.3</v>
      </c>
      <c r="V226" s="296">
        <v>2018</v>
      </c>
    </row>
    <row r="227" spans="1:22" s="2" customFormat="1" ht="60">
      <c r="A227" s="70">
        <v>157</v>
      </c>
      <c r="B227" s="99" t="s">
        <v>175</v>
      </c>
      <c r="C227" s="35">
        <v>1964</v>
      </c>
      <c r="D227" s="29"/>
      <c r="E227" s="35" t="s">
        <v>374</v>
      </c>
      <c r="F227" s="35">
        <v>4</v>
      </c>
      <c r="G227" s="35">
        <v>6</v>
      </c>
      <c r="H227" s="37">
        <v>3769.5</v>
      </c>
      <c r="I227" s="37">
        <v>3769.5</v>
      </c>
      <c r="J227" s="37">
        <v>2381.2</v>
      </c>
      <c r="K227" s="36">
        <v>195</v>
      </c>
      <c r="L227" s="24" t="s">
        <v>1085</v>
      </c>
      <c r="M227" s="37">
        <v>9434598.31</v>
      </c>
      <c r="N227" s="37"/>
      <c r="O227" s="37"/>
      <c r="P227" s="37"/>
      <c r="Q227" s="37">
        <v>9434598.31</v>
      </c>
      <c r="R227" s="29">
        <f t="shared" si="19"/>
        <v>2502.8779174956894</v>
      </c>
      <c r="S227" s="29">
        <v>14736.15</v>
      </c>
      <c r="T227" s="29" t="s">
        <v>1359</v>
      </c>
      <c r="U227" s="118">
        <v>6.3</v>
      </c>
      <c r="V227" s="296">
        <v>2018</v>
      </c>
    </row>
    <row r="228" spans="1:22" s="2" customFormat="1" ht="60">
      <c r="A228" s="70">
        <v>158</v>
      </c>
      <c r="B228" s="120" t="s">
        <v>1086</v>
      </c>
      <c r="C228" s="35">
        <v>1961</v>
      </c>
      <c r="D228" s="29"/>
      <c r="E228" s="35" t="s">
        <v>374</v>
      </c>
      <c r="F228" s="35">
        <v>4</v>
      </c>
      <c r="G228" s="35">
        <v>2</v>
      </c>
      <c r="H228" s="37">
        <v>1280.1</v>
      </c>
      <c r="I228" s="37">
        <v>1280.1</v>
      </c>
      <c r="J228" s="37">
        <v>762.3</v>
      </c>
      <c r="K228" s="36">
        <v>83</v>
      </c>
      <c r="L228" s="24" t="s">
        <v>1091</v>
      </c>
      <c r="M228" s="37">
        <v>3298445.62</v>
      </c>
      <c r="N228" s="37"/>
      <c r="O228" s="37"/>
      <c r="P228" s="37"/>
      <c r="Q228" s="37">
        <v>3298445.62</v>
      </c>
      <c r="R228" s="29">
        <f t="shared" si="19"/>
        <v>2576.709335208187</v>
      </c>
      <c r="S228" s="29">
        <v>14736.15</v>
      </c>
      <c r="T228" s="29" t="s">
        <v>1359</v>
      </c>
      <c r="U228" s="118">
        <v>6.3</v>
      </c>
      <c r="V228" s="296">
        <v>2018</v>
      </c>
    </row>
    <row r="229" spans="1:22" s="2" customFormat="1" ht="75">
      <c r="A229" s="70">
        <v>159</v>
      </c>
      <c r="B229" s="99" t="s">
        <v>1087</v>
      </c>
      <c r="C229" s="35">
        <v>1961</v>
      </c>
      <c r="D229" s="29"/>
      <c r="E229" s="35" t="s">
        <v>374</v>
      </c>
      <c r="F229" s="35">
        <v>4</v>
      </c>
      <c r="G229" s="35">
        <v>4</v>
      </c>
      <c r="H229" s="37">
        <v>2354.6</v>
      </c>
      <c r="I229" s="37">
        <v>2354.6</v>
      </c>
      <c r="J229" s="37">
        <v>1559</v>
      </c>
      <c r="K229" s="36">
        <v>150</v>
      </c>
      <c r="L229" s="24" t="s">
        <v>1084</v>
      </c>
      <c r="M229" s="37">
        <v>6063247.24</v>
      </c>
      <c r="N229" s="37"/>
      <c r="O229" s="37"/>
      <c r="P229" s="37"/>
      <c r="Q229" s="37">
        <v>6063247.24</v>
      </c>
      <c r="R229" s="29">
        <f t="shared" si="19"/>
        <v>2575.064656417226</v>
      </c>
      <c r="S229" s="29">
        <v>14736.15</v>
      </c>
      <c r="T229" s="29" t="s">
        <v>1359</v>
      </c>
      <c r="U229" s="118">
        <v>6.3</v>
      </c>
      <c r="V229" s="296">
        <v>2018</v>
      </c>
    </row>
    <row r="230" spans="1:22" s="2" customFormat="1" ht="105">
      <c r="A230" s="70">
        <v>160</v>
      </c>
      <c r="B230" s="99" t="s">
        <v>621</v>
      </c>
      <c r="C230" s="35">
        <v>1964</v>
      </c>
      <c r="D230" s="29"/>
      <c r="E230" s="35" t="s">
        <v>374</v>
      </c>
      <c r="F230" s="35">
        <v>5</v>
      </c>
      <c r="G230" s="35">
        <v>2</v>
      </c>
      <c r="H230" s="37">
        <v>1959.6</v>
      </c>
      <c r="I230" s="37">
        <v>1559.6</v>
      </c>
      <c r="J230" s="37">
        <v>1046.8</v>
      </c>
      <c r="K230" s="36">
        <v>103</v>
      </c>
      <c r="L230" s="24" t="s">
        <v>1600</v>
      </c>
      <c r="M230" s="37">
        <v>2115991.56</v>
      </c>
      <c r="N230" s="37"/>
      <c r="O230" s="37"/>
      <c r="P230" s="37"/>
      <c r="Q230" s="37">
        <v>2115991.56</v>
      </c>
      <c r="R230" s="29">
        <f t="shared" si="19"/>
        <v>1356.7527314696076</v>
      </c>
      <c r="S230" s="29">
        <v>14736.15</v>
      </c>
      <c r="T230" s="29" t="s">
        <v>1359</v>
      </c>
      <c r="U230" s="118">
        <v>6.3</v>
      </c>
      <c r="V230" s="296">
        <v>2018</v>
      </c>
    </row>
    <row r="231" spans="1:22" s="2" customFormat="1" ht="165">
      <c r="A231" s="70">
        <v>161</v>
      </c>
      <c r="B231" s="99" t="s">
        <v>622</v>
      </c>
      <c r="C231" s="35">
        <v>1965</v>
      </c>
      <c r="D231" s="29"/>
      <c r="E231" s="35" t="s">
        <v>494</v>
      </c>
      <c r="F231" s="35">
        <v>5</v>
      </c>
      <c r="G231" s="35">
        <v>4</v>
      </c>
      <c r="H231" s="37">
        <v>3554.74</v>
      </c>
      <c r="I231" s="37">
        <v>3554.74</v>
      </c>
      <c r="J231" s="37">
        <v>2542.9</v>
      </c>
      <c r="K231" s="36">
        <v>179</v>
      </c>
      <c r="L231" s="24" t="s">
        <v>100</v>
      </c>
      <c r="M231" s="37">
        <v>6558605.4</v>
      </c>
      <c r="N231" s="37"/>
      <c r="O231" s="37"/>
      <c r="P231" s="37"/>
      <c r="Q231" s="37">
        <v>6558605.4</v>
      </c>
      <c r="R231" s="29">
        <f t="shared" si="19"/>
        <v>1845.03097272937</v>
      </c>
      <c r="S231" s="29">
        <v>14736.15</v>
      </c>
      <c r="T231" s="29" t="s">
        <v>1359</v>
      </c>
      <c r="U231" s="118">
        <v>6.3</v>
      </c>
      <c r="V231" s="296">
        <v>2018</v>
      </c>
    </row>
    <row r="232" spans="1:22" s="2" customFormat="1" ht="45">
      <c r="A232" s="70">
        <v>162</v>
      </c>
      <c r="B232" s="99" t="s">
        <v>1088</v>
      </c>
      <c r="C232" s="35">
        <v>1978</v>
      </c>
      <c r="D232" s="29"/>
      <c r="E232" s="35" t="s">
        <v>494</v>
      </c>
      <c r="F232" s="35">
        <v>5</v>
      </c>
      <c r="G232" s="35">
        <v>6</v>
      </c>
      <c r="H232" s="37">
        <v>3004.8</v>
      </c>
      <c r="I232" s="37">
        <v>3004.8</v>
      </c>
      <c r="J232" s="37">
        <v>2693.6</v>
      </c>
      <c r="K232" s="36">
        <v>156</v>
      </c>
      <c r="L232" s="24" t="s">
        <v>489</v>
      </c>
      <c r="M232" s="37">
        <v>1224927.03</v>
      </c>
      <c r="N232" s="37"/>
      <c r="O232" s="37"/>
      <c r="P232" s="37"/>
      <c r="Q232" s="37">
        <v>1224927.03</v>
      </c>
      <c r="R232" s="29">
        <f t="shared" si="19"/>
        <v>407.6567591853035</v>
      </c>
      <c r="S232" s="29">
        <v>14736.15</v>
      </c>
      <c r="T232" s="29" t="s">
        <v>1359</v>
      </c>
      <c r="U232" s="118">
        <v>6.3</v>
      </c>
      <c r="V232" s="296">
        <v>2018</v>
      </c>
    </row>
    <row r="233" spans="1:22" s="2" customFormat="1" ht="90">
      <c r="A233" s="70">
        <v>163</v>
      </c>
      <c r="B233" s="99" t="s">
        <v>969</v>
      </c>
      <c r="C233" s="35">
        <v>1974</v>
      </c>
      <c r="D233" s="99"/>
      <c r="E233" s="35" t="s">
        <v>494</v>
      </c>
      <c r="F233" s="35">
        <v>5</v>
      </c>
      <c r="G233" s="35">
        <v>4</v>
      </c>
      <c r="H233" s="29">
        <v>3062</v>
      </c>
      <c r="I233" s="29">
        <v>3062</v>
      </c>
      <c r="J233" s="29" t="s">
        <v>970</v>
      </c>
      <c r="K233" s="36">
        <v>147</v>
      </c>
      <c r="L233" s="24" t="s">
        <v>1352</v>
      </c>
      <c r="M233" s="37">
        <v>2177053.94</v>
      </c>
      <c r="N233" s="37"/>
      <c r="O233" s="37"/>
      <c r="P233" s="37"/>
      <c r="Q233" s="37">
        <v>2177053.94</v>
      </c>
      <c r="R233" s="29">
        <f t="shared" si="19"/>
        <v>710.9908360548661</v>
      </c>
      <c r="S233" s="29">
        <v>14736.15</v>
      </c>
      <c r="T233" s="29" t="s">
        <v>1359</v>
      </c>
      <c r="U233" s="118">
        <v>6.3</v>
      </c>
      <c r="V233" s="296">
        <v>2018</v>
      </c>
    </row>
    <row r="234" spans="1:22" s="2" customFormat="1" ht="45">
      <c r="A234" s="70">
        <v>164</v>
      </c>
      <c r="B234" s="99" t="s">
        <v>971</v>
      </c>
      <c r="C234" s="35">
        <v>1972</v>
      </c>
      <c r="D234" s="99"/>
      <c r="E234" s="35" t="s">
        <v>494</v>
      </c>
      <c r="F234" s="35">
        <v>5</v>
      </c>
      <c r="G234" s="35">
        <v>3</v>
      </c>
      <c r="H234" s="29">
        <v>2889.9</v>
      </c>
      <c r="I234" s="29">
        <v>2889.9</v>
      </c>
      <c r="J234" s="29" t="s">
        <v>972</v>
      </c>
      <c r="K234" s="36">
        <v>171</v>
      </c>
      <c r="L234" s="24" t="s">
        <v>489</v>
      </c>
      <c r="M234" s="37">
        <v>1289170.82</v>
      </c>
      <c r="N234" s="37"/>
      <c r="O234" s="37"/>
      <c r="P234" s="37"/>
      <c r="Q234" s="37">
        <v>1289170.82</v>
      </c>
      <c r="R234" s="29">
        <f t="shared" si="19"/>
        <v>446.09530433579016</v>
      </c>
      <c r="S234" s="29">
        <v>14736.15</v>
      </c>
      <c r="T234" s="29" t="s">
        <v>1359</v>
      </c>
      <c r="U234" s="118">
        <v>6.3</v>
      </c>
      <c r="V234" s="296">
        <v>2018</v>
      </c>
    </row>
    <row r="235" spans="1:22" s="2" customFormat="1" ht="120">
      <c r="A235" s="70">
        <v>165</v>
      </c>
      <c r="B235" s="99" t="s">
        <v>973</v>
      </c>
      <c r="C235" s="35">
        <v>1976</v>
      </c>
      <c r="D235" s="99"/>
      <c r="E235" s="35" t="s">
        <v>374</v>
      </c>
      <c r="F235" s="35">
        <v>5</v>
      </c>
      <c r="G235" s="35">
        <v>6</v>
      </c>
      <c r="H235" s="29">
        <v>4757.9</v>
      </c>
      <c r="I235" s="29">
        <v>4757.9</v>
      </c>
      <c r="J235" s="29" t="s">
        <v>974</v>
      </c>
      <c r="K235" s="36">
        <v>210</v>
      </c>
      <c r="L235" s="24" t="s">
        <v>1353</v>
      </c>
      <c r="M235" s="37">
        <v>9600573.37</v>
      </c>
      <c r="N235" s="37"/>
      <c r="O235" s="37"/>
      <c r="P235" s="37"/>
      <c r="Q235" s="37">
        <v>9600573.37</v>
      </c>
      <c r="R235" s="29">
        <f t="shared" si="19"/>
        <v>2017.8173921267787</v>
      </c>
      <c r="S235" s="29">
        <v>14736.15</v>
      </c>
      <c r="T235" s="29" t="s">
        <v>1359</v>
      </c>
      <c r="U235" s="118">
        <v>6.3</v>
      </c>
      <c r="V235" s="296">
        <v>2018</v>
      </c>
    </row>
    <row r="236" spans="1:22" s="2" customFormat="1" ht="105">
      <c r="A236" s="70">
        <v>166</v>
      </c>
      <c r="B236" s="99" t="s">
        <v>975</v>
      </c>
      <c r="C236" s="35">
        <v>1972</v>
      </c>
      <c r="D236" s="99"/>
      <c r="E236" s="35" t="s">
        <v>494</v>
      </c>
      <c r="F236" s="35">
        <v>5</v>
      </c>
      <c r="G236" s="35">
        <v>6</v>
      </c>
      <c r="H236" s="29">
        <v>3795.6</v>
      </c>
      <c r="I236" s="29">
        <v>3795.6</v>
      </c>
      <c r="J236" s="29" t="s">
        <v>976</v>
      </c>
      <c r="K236" s="36">
        <v>182</v>
      </c>
      <c r="L236" s="29" t="s">
        <v>1354</v>
      </c>
      <c r="M236" s="37">
        <v>7046455.47</v>
      </c>
      <c r="N236" s="37"/>
      <c r="O236" s="37"/>
      <c r="P236" s="37"/>
      <c r="Q236" s="37">
        <v>7046455.47</v>
      </c>
      <c r="R236" s="29">
        <f t="shared" si="19"/>
        <v>1856.4799952576668</v>
      </c>
      <c r="S236" s="29">
        <v>14736.15</v>
      </c>
      <c r="T236" s="29" t="s">
        <v>1359</v>
      </c>
      <c r="U236" s="118">
        <v>6.3</v>
      </c>
      <c r="V236" s="296">
        <v>2018</v>
      </c>
    </row>
    <row r="237" spans="1:22" s="2" customFormat="1" ht="45">
      <c r="A237" s="70">
        <v>167</v>
      </c>
      <c r="B237" s="99" t="s">
        <v>977</v>
      </c>
      <c r="C237" s="35">
        <v>1961</v>
      </c>
      <c r="D237" s="99"/>
      <c r="E237" s="35" t="s">
        <v>374</v>
      </c>
      <c r="F237" s="35">
        <v>2</v>
      </c>
      <c r="G237" s="35">
        <v>2</v>
      </c>
      <c r="H237" s="29">
        <v>688.6</v>
      </c>
      <c r="I237" s="29">
        <v>688.6</v>
      </c>
      <c r="J237" s="29">
        <v>234.7</v>
      </c>
      <c r="K237" s="36">
        <v>48</v>
      </c>
      <c r="L237" s="29" t="s">
        <v>978</v>
      </c>
      <c r="M237" s="37">
        <v>2134035.1</v>
      </c>
      <c r="N237" s="37"/>
      <c r="O237" s="37"/>
      <c r="P237" s="37"/>
      <c r="Q237" s="37">
        <v>2134035.1</v>
      </c>
      <c r="R237" s="29">
        <f t="shared" si="19"/>
        <v>3099.0925065349984</v>
      </c>
      <c r="S237" s="29">
        <v>14736.15</v>
      </c>
      <c r="T237" s="29" t="s">
        <v>1359</v>
      </c>
      <c r="U237" s="118">
        <v>6.3</v>
      </c>
      <c r="V237" s="296">
        <v>2018</v>
      </c>
    </row>
    <row r="238" spans="1:22" s="2" customFormat="1" ht="90">
      <c r="A238" s="70">
        <v>168</v>
      </c>
      <c r="B238" s="99" t="s">
        <v>979</v>
      </c>
      <c r="C238" s="35">
        <v>1964</v>
      </c>
      <c r="D238" s="99"/>
      <c r="E238" s="35" t="s">
        <v>374</v>
      </c>
      <c r="F238" s="35">
        <v>5</v>
      </c>
      <c r="G238" s="35">
        <v>3</v>
      </c>
      <c r="H238" s="29">
        <v>2645.8</v>
      </c>
      <c r="I238" s="29">
        <v>2645.8</v>
      </c>
      <c r="J238" s="29" t="s">
        <v>980</v>
      </c>
      <c r="K238" s="36">
        <v>145</v>
      </c>
      <c r="L238" s="29" t="s">
        <v>63</v>
      </c>
      <c r="M238" s="37">
        <v>1860558.82</v>
      </c>
      <c r="N238" s="37"/>
      <c r="O238" s="37"/>
      <c r="P238" s="37"/>
      <c r="Q238" s="37">
        <v>1860558.82</v>
      </c>
      <c r="R238" s="29">
        <f t="shared" si="19"/>
        <v>703.212192909517</v>
      </c>
      <c r="S238" s="29">
        <v>14736.15</v>
      </c>
      <c r="T238" s="29" t="s">
        <v>1359</v>
      </c>
      <c r="U238" s="118">
        <v>6.3</v>
      </c>
      <c r="V238" s="296">
        <v>2018</v>
      </c>
    </row>
    <row r="239" spans="1:22" s="2" customFormat="1" ht="118.5" customHeight="1">
      <c r="A239" s="70">
        <v>169</v>
      </c>
      <c r="B239" s="99" t="s">
        <v>981</v>
      </c>
      <c r="C239" s="35">
        <v>1967</v>
      </c>
      <c r="D239" s="99"/>
      <c r="E239" s="35" t="s">
        <v>494</v>
      </c>
      <c r="F239" s="35">
        <v>5</v>
      </c>
      <c r="G239" s="35">
        <v>3</v>
      </c>
      <c r="H239" s="29">
        <v>3248.9</v>
      </c>
      <c r="I239" s="29">
        <v>3248.9</v>
      </c>
      <c r="J239" s="29" t="s">
        <v>980</v>
      </c>
      <c r="K239" s="36">
        <v>143</v>
      </c>
      <c r="L239" s="29" t="s">
        <v>1355</v>
      </c>
      <c r="M239" s="37">
        <v>5258702.27</v>
      </c>
      <c r="N239" s="37"/>
      <c r="O239" s="37"/>
      <c r="P239" s="37"/>
      <c r="Q239" s="37">
        <v>5258702.27</v>
      </c>
      <c r="R239" s="29">
        <f t="shared" si="19"/>
        <v>1618.6100741789528</v>
      </c>
      <c r="S239" s="29">
        <v>14736.15</v>
      </c>
      <c r="T239" s="29" t="s">
        <v>1359</v>
      </c>
      <c r="U239" s="118">
        <v>6.3</v>
      </c>
      <c r="V239" s="296">
        <v>2018</v>
      </c>
    </row>
    <row r="240" spans="1:22" s="2" customFormat="1" ht="45">
      <c r="A240" s="70">
        <v>170</v>
      </c>
      <c r="B240" s="99" t="s">
        <v>982</v>
      </c>
      <c r="C240" s="35">
        <v>1970</v>
      </c>
      <c r="D240" s="99"/>
      <c r="E240" s="35" t="s">
        <v>494</v>
      </c>
      <c r="F240" s="35">
        <v>5</v>
      </c>
      <c r="G240" s="35">
        <v>7</v>
      </c>
      <c r="H240" s="29">
        <v>7362.7</v>
      </c>
      <c r="I240" s="29">
        <v>7362.7</v>
      </c>
      <c r="J240" s="29" t="s">
        <v>983</v>
      </c>
      <c r="K240" s="36">
        <v>372</v>
      </c>
      <c r="L240" s="29" t="s">
        <v>984</v>
      </c>
      <c r="M240" s="37">
        <v>6888262.98</v>
      </c>
      <c r="N240" s="37"/>
      <c r="O240" s="37"/>
      <c r="P240" s="37"/>
      <c r="Q240" s="37">
        <v>6888262.98</v>
      </c>
      <c r="R240" s="29">
        <f t="shared" si="19"/>
        <v>935.562087277765</v>
      </c>
      <c r="S240" s="29">
        <v>14736.15</v>
      </c>
      <c r="T240" s="29" t="s">
        <v>1359</v>
      </c>
      <c r="U240" s="118">
        <v>6.3</v>
      </c>
      <c r="V240" s="296">
        <v>2018</v>
      </c>
    </row>
    <row r="241" spans="1:22" s="2" customFormat="1" ht="88.5" customHeight="1">
      <c r="A241" s="70">
        <v>171</v>
      </c>
      <c r="B241" s="99" t="s">
        <v>985</v>
      </c>
      <c r="C241" s="35">
        <v>1965</v>
      </c>
      <c r="D241" s="99"/>
      <c r="E241" s="35" t="s">
        <v>494</v>
      </c>
      <c r="F241" s="35">
        <v>5</v>
      </c>
      <c r="G241" s="35">
        <v>6</v>
      </c>
      <c r="H241" s="29">
        <v>5099.2</v>
      </c>
      <c r="I241" s="29">
        <v>5099.2</v>
      </c>
      <c r="J241" s="29">
        <v>2584.7</v>
      </c>
      <c r="K241" s="36">
        <v>302</v>
      </c>
      <c r="L241" s="29" t="s">
        <v>71</v>
      </c>
      <c r="M241" s="37">
        <v>3196404.5</v>
      </c>
      <c r="N241" s="37"/>
      <c r="O241" s="37"/>
      <c r="P241" s="37"/>
      <c r="Q241" s="37">
        <v>3196404.5</v>
      </c>
      <c r="R241" s="29">
        <f t="shared" si="19"/>
        <v>626.8443089112018</v>
      </c>
      <c r="S241" s="29">
        <v>14736.15</v>
      </c>
      <c r="T241" s="29" t="s">
        <v>1359</v>
      </c>
      <c r="U241" s="118">
        <v>6.3</v>
      </c>
      <c r="V241" s="296">
        <v>2018</v>
      </c>
    </row>
    <row r="242" spans="1:22" s="2" customFormat="1" ht="45">
      <c r="A242" s="70">
        <v>172</v>
      </c>
      <c r="B242" s="99" t="s">
        <v>1089</v>
      </c>
      <c r="C242" s="35">
        <v>1980</v>
      </c>
      <c r="D242" s="29"/>
      <c r="E242" s="35" t="s">
        <v>494</v>
      </c>
      <c r="F242" s="35">
        <v>6</v>
      </c>
      <c r="G242" s="35">
        <v>9</v>
      </c>
      <c r="H242" s="37">
        <v>12956.6</v>
      </c>
      <c r="I242" s="37">
        <v>12956.6</v>
      </c>
      <c r="J242" s="37">
        <v>10802.2</v>
      </c>
      <c r="K242" s="36">
        <v>590</v>
      </c>
      <c r="L242" s="24" t="s">
        <v>1396</v>
      </c>
      <c r="M242" s="37">
        <v>10313453.29</v>
      </c>
      <c r="N242" s="37"/>
      <c r="O242" s="37"/>
      <c r="P242" s="37"/>
      <c r="Q242" s="37">
        <v>10313453.29</v>
      </c>
      <c r="R242" s="29">
        <f t="shared" si="19"/>
        <v>795.99997607397</v>
      </c>
      <c r="S242" s="29">
        <v>14736.15</v>
      </c>
      <c r="T242" s="29" t="s">
        <v>1359</v>
      </c>
      <c r="U242" s="118">
        <v>6.3</v>
      </c>
      <c r="V242" s="296">
        <v>2018</v>
      </c>
    </row>
    <row r="243" spans="1:22" s="2" customFormat="1" ht="30">
      <c r="A243" s="70">
        <v>173</v>
      </c>
      <c r="B243" s="99" t="s">
        <v>1476</v>
      </c>
      <c r="C243" s="35">
        <v>1980</v>
      </c>
      <c r="D243" s="99"/>
      <c r="E243" s="35" t="s">
        <v>494</v>
      </c>
      <c r="F243" s="35">
        <v>5</v>
      </c>
      <c r="G243" s="35">
        <v>8</v>
      </c>
      <c r="H243" s="29">
        <v>4859.7</v>
      </c>
      <c r="I243" s="29">
        <v>4414.3</v>
      </c>
      <c r="J243" s="29">
        <v>3714.1</v>
      </c>
      <c r="K243" s="36">
        <v>237</v>
      </c>
      <c r="L243" s="29" t="s">
        <v>1593</v>
      </c>
      <c r="M243" s="37">
        <v>739052</v>
      </c>
      <c r="N243" s="37"/>
      <c r="O243" s="37"/>
      <c r="P243" s="37"/>
      <c r="Q243" s="37">
        <v>739052</v>
      </c>
      <c r="R243" s="29">
        <f>M243/I243</f>
        <v>167.42224135196972</v>
      </c>
      <c r="S243" s="29">
        <v>14736.15</v>
      </c>
      <c r="T243" s="29" t="s">
        <v>1418</v>
      </c>
      <c r="U243" s="118">
        <v>739052</v>
      </c>
      <c r="V243" s="296">
        <v>2018</v>
      </c>
    </row>
    <row r="244" spans="1:22" s="2" customFormat="1" ht="15">
      <c r="A244" s="70"/>
      <c r="B244" s="112" t="s">
        <v>118</v>
      </c>
      <c r="C244" s="24"/>
      <c r="D244" s="24"/>
      <c r="E244" s="24"/>
      <c r="F244" s="24"/>
      <c r="G244" s="24"/>
      <c r="H244" s="81">
        <f>SUM(H217:H243)</f>
        <v>92139.37000000001</v>
      </c>
      <c r="I244" s="81">
        <f aca="true" t="shared" si="20" ref="I244:Q244">SUM(I217:I243)</f>
        <v>91293.97000000002</v>
      </c>
      <c r="J244" s="81">
        <f t="shared" si="20"/>
        <v>49370.93</v>
      </c>
      <c r="K244" s="98">
        <f t="shared" si="20"/>
        <v>4899</v>
      </c>
      <c r="L244" s="81"/>
      <c r="M244" s="81">
        <f t="shared" si="20"/>
        <v>122084257.47999999</v>
      </c>
      <c r="N244" s="81"/>
      <c r="O244" s="81"/>
      <c r="P244" s="81"/>
      <c r="Q244" s="81">
        <f t="shared" si="20"/>
        <v>122084257.47999999</v>
      </c>
      <c r="R244" s="96">
        <f t="shared" si="19"/>
        <v>1337.2652923298217</v>
      </c>
      <c r="S244" s="29"/>
      <c r="T244" s="76"/>
      <c r="U244" s="118"/>
      <c r="V244" s="296"/>
    </row>
    <row r="245" spans="1:22" s="2" customFormat="1" ht="15">
      <c r="A245" s="300" t="s">
        <v>74</v>
      </c>
      <c r="B245" s="301"/>
      <c r="C245" s="301"/>
      <c r="D245" s="301"/>
      <c r="E245" s="301"/>
      <c r="F245" s="301"/>
      <c r="G245" s="301"/>
      <c r="H245" s="301"/>
      <c r="I245" s="301"/>
      <c r="J245" s="301"/>
      <c r="K245" s="301"/>
      <c r="L245" s="301"/>
      <c r="M245" s="301"/>
      <c r="N245" s="301"/>
      <c r="O245" s="301"/>
      <c r="P245" s="301"/>
      <c r="Q245" s="302"/>
      <c r="R245" s="301"/>
      <c r="S245" s="301"/>
      <c r="T245" s="301"/>
      <c r="U245" s="303"/>
      <c r="V245" s="296"/>
    </row>
    <row r="246" spans="1:22" s="2" customFormat="1" ht="45">
      <c r="A246" s="70">
        <v>174</v>
      </c>
      <c r="B246" s="99" t="s">
        <v>507</v>
      </c>
      <c r="C246" s="35">
        <v>1958</v>
      </c>
      <c r="D246" s="35">
        <v>2015</v>
      </c>
      <c r="E246" s="29" t="s">
        <v>374</v>
      </c>
      <c r="F246" s="35">
        <v>2</v>
      </c>
      <c r="G246" s="35">
        <v>2</v>
      </c>
      <c r="H246" s="37">
        <v>293.24</v>
      </c>
      <c r="I246" s="37">
        <v>273.12</v>
      </c>
      <c r="J246" s="37">
        <v>198.12</v>
      </c>
      <c r="K246" s="36">
        <v>9</v>
      </c>
      <c r="L246" s="29" t="s">
        <v>489</v>
      </c>
      <c r="M246" s="37">
        <v>596510.4</v>
      </c>
      <c r="N246" s="37"/>
      <c r="O246" s="37"/>
      <c r="P246" s="37"/>
      <c r="Q246" s="37">
        <v>596510.4</v>
      </c>
      <c r="R246" s="29">
        <f>M246/I246</f>
        <v>2184.059753954306</v>
      </c>
      <c r="S246" s="29">
        <v>14736.15</v>
      </c>
      <c r="T246" s="29" t="s">
        <v>1359</v>
      </c>
      <c r="U246" s="118">
        <v>6.3</v>
      </c>
      <c r="V246" s="296">
        <v>2018</v>
      </c>
    </row>
    <row r="247" spans="1:22" s="2" customFormat="1" ht="75">
      <c r="A247" s="70">
        <v>175</v>
      </c>
      <c r="B247" s="99" t="s">
        <v>1090</v>
      </c>
      <c r="C247" s="35">
        <v>1970</v>
      </c>
      <c r="D247" s="29"/>
      <c r="E247" s="29" t="s">
        <v>374</v>
      </c>
      <c r="F247" s="35">
        <v>5</v>
      </c>
      <c r="G247" s="35">
        <v>4</v>
      </c>
      <c r="H247" s="37">
        <v>3439</v>
      </c>
      <c r="I247" s="37">
        <v>3194.8</v>
      </c>
      <c r="J247" s="37">
        <v>2501.53</v>
      </c>
      <c r="K247" s="36">
        <v>90</v>
      </c>
      <c r="L247" s="29" t="s">
        <v>605</v>
      </c>
      <c r="M247" s="37">
        <v>3811691.06</v>
      </c>
      <c r="N247" s="37"/>
      <c r="O247" s="37"/>
      <c r="P247" s="37"/>
      <c r="Q247" s="37">
        <v>3811691.06</v>
      </c>
      <c r="R247" s="29">
        <f aca="true" t="shared" si="21" ref="R247:R254">M247/I247</f>
        <v>1193.092231125579</v>
      </c>
      <c r="S247" s="29">
        <v>14736.15</v>
      </c>
      <c r="T247" s="29" t="s">
        <v>1359</v>
      </c>
      <c r="U247" s="118">
        <v>6.3</v>
      </c>
      <c r="V247" s="296">
        <v>2018</v>
      </c>
    </row>
    <row r="248" spans="1:22" s="2" customFormat="1" ht="45">
      <c r="A248" s="70">
        <v>176</v>
      </c>
      <c r="B248" s="99" t="s">
        <v>1477</v>
      </c>
      <c r="C248" s="35">
        <v>1962</v>
      </c>
      <c r="D248" s="29"/>
      <c r="E248" s="29" t="s">
        <v>374</v>
      </c>
      <c r="F248" s="35">
        <v>2</v>
      </c>
      <c r="G248" s="35">
        <v>2</v>
      </c>
      <c r="H248" s="37">
        <v>576.09</v>
      </c>
      <c r="I248" s="37">
        <v>516.09</v>
      </c>
      <c r="J248" s="37">
        <v>375.14</v>
      </c>
      <c r="K248" s="36">
        <v>54</v>
      </c>
      <c r="L248" s="29" t="s">
        <v>489</v>
      </c>
      <c r="M248" s="37">
        <v>1215942.31</v>
      </c>
      <c r="N248" s="37"/>
      <c r="O248" s="37"/>
      <c r="P248" s="37"/>
      <c r="Q248" s="37">
        <v>1215942.31</v>
      </c>
      <c r="R248" s="29">
        <f t="shared" si="21"/>
        <v>2356.066403146738</v>
      </c>
      <c r="S248" s="29">
        <v>14736.15</v>
      </c>
      <c r="T248" s="29" t="s">
        <v>1359</v>
      </c>
      <c r="U248" s="118">
        <v>6.3</v>
      </c>
      <c r="V248" s="296">
        <v>2018</v>
      </c>
    </row>
    <row r="249" spans="1:22" s="2" customFormat="1" ht="45">
      <c r="A249" s="70">
        <v>177</v>
      </c>
      <c r="B249" s="99" t="s">
        <v>176</v>
      </c>
      <c r="C249" s="35">
        <v>1989</v>
      </c>
      <c r="D249" s="29"/>
      <c r="E249" s="29" t="s">
        <v>374</v>
      </c>
      <c r="F249" s="35">
        <v>2</v>
      </c>
      <c r="G249" s="35">
        <v>2</v>
      </c>
      <c r="H249" s="37">
        <v>650.53</v>
      </c>
      <c r="I249" s="37">
        <v>578.73</v>
      </c>
      <c r="J249" s="37">
        <v>479.06</v>
      </c>
      <c r="K249" s="36">
        <v>21</v>
      </c>
      <c r="L249" s="29" t="s">
        <v>489</v>
      </c>
      <c r="M249" s="37">
        <v>1384916.46</v>
      </c>
      <c r="N249" s="37"/>
      <c r="O249" s="37"/>
      <c r="P249" s="37"/>
      <c r="Q249" s="37">
        <v>1384916.46</v>
      </c>
      <c r="R249" s="29">
        <f t="shared" si="21"/>
        <v>2393.026903737494</v>
      </c>
      <c r="S249" s="29">
        <v>14736.15</v>
      </c>
      <c r="T249" s="29" t="s">
        <v>1359</v>
      </c>
      <c r="U249" s="118">
        <v>6.3</v>
      </c>
      <c r="V249" s="296">
        <v>2018</v>
      </c>
    </row>
    <row r="250" spans="1:22" s="2" customFormat="1" ht="150">
      <c r="A250" s="70">
        <v>178</v>
      </c>
      <c r="B250" s="99" t="s">
        <v>1041</v>
      </c>
      <c r="C250" s="35">
        <v>1967</v>
      </c>
      <c r="D250" s="29"/>
      <c r="E250" s="29" t="s">
        <v>374</v>
      </c>
      <c r="F250" s="35">
        <v>4</v>
      </c>
      <c r="G250" s="35">
        <v>3</v>
      </c>
      <c r="H250" s="37">
        <v>2399.94</v>
      </c>
      <c r="I250" s="37">
        <v>2246.94</v>
      </c>
      <c r="J250" s="37">
        <v>1916.69</v>
      </c>
      <c r="K250" s="36">
        <v>75</v>
      </c>
      <c r="L250" s="29" t="s">
        <v>279</v>
      </c>
      <c r="M250" s="37">
        <v>3051114.31</v>
      </c>
      <c r="N250" s="37"/>
      <c r="O250" s="37"/>
      <c r="P250" s="37"/>
      <c r="Q250" s="37">
        <v>3051114.31</v>
      </c>
      <c r="R250" s="29">
        <f t="shared" si="21"/>
        <v>1357.8975451057884</v>
      </c>
      <c r="S250" s="29">
        <v>14736.15</v>
      </c>
      <c r="T250" s="29" t="s">
        <v>1359</v>
      </c>
      <c r="U250" s="118">
        <v>6.3</v>
      </c>
      <c r="V250" s="296">
        <v>2018</v>
      </c>
    </row>
    <row r="251" spans="1:22" s="2" customFormat="1" ht="165">
      <c r="A251" s="70">
        <v>179</v>
      </c>
      <c r="B251" s="99" t="s">
        <v>1042</v>
      </c>
      <c r="C251" s="35">
        <v>1960</v>
      </c>
      <c r="D251" s="29"/>
      <c r="E251" s="29" t="s">
        <v>1043</v>
      </c>
      <c r="F251" s="35">
        <v>2</v>
      </c>
      <c r="G251" s="35">
        <v>1</v>
      </c>
      <c r="H251" s="37">
        <v>298.36</v>
      </c>
      <c r="I251" s="37">
        <v>274.76</v>
      </c>
      <c r="J251" s="37">
        <v>274.76</v>
      </c>
      <c r="K251" s="36">
        <v>10</v>
      </c>
      <c r="L251" s="29" t="s">
        <v>280</v>
      </c>
      <c r="M251" s="37">
        <v>980086.78</v>
      </c>
      <c r="N251" s="37"/>
      <c r="O251" s="37"/>
      <c r="P251" s="37"/>
      <c r="Q251" s="37">
        <v>980086.78</v>
      </c>
      <c r="R251" s="29">
        <f t="shared" si="21"/>
        <v>3567.065002183724</v>
      </c>
      <c r="S251" s="29">
        <v>14736.15</v>
      </c>
      <c r="T251" s="29" t="s">
        <v>1359</v>
      </c>
      <c r="U251" s="118">
        <v>6.3</v>
      </c>
      <c r="V251" s="296">
        <v>2018</v>
      </c>
    </row>
    <row r="252" spans="1:22" s="2" customFormat="1" ht="45">
      <c r="A252" s="70">
        <v>180</v>
      </c>
      <c r="B252" s="99" t="s">
        <v>1044</v>
      </c>
      <c r="C252" s="35">
        <v>1957</v>
      </c>
      <c r="D252" s="35">
        <v>2015</v>
      </c>
      <c r="E252" s="29" t="s">
        <v>374</v>
      </c>
      <c r="F252" s="35">
        <v>2</v>
      </c>
      <c r="G252" s="35">
        <v>2</v>
      </c>
      <c r="H252" s="37">
        <v>776.86</v>
      </c>
      <c r="I252" s="37">
        <v>704.86</v>
      </c>
      <c r="J252" s="37">
        <v>466.76</v>
      </c>
      <c r="K252" s="36">
        <v>19</v>
      </c>
      <c r="L252" s="29" t="s">
        <v>489</v>
      </c>
      <c r="M252" s="37">
        <v>1494684.14</v>
      </c>
      <c r="N252" s="37"/>
      <c r="O252" s="37"/>
      <c r="P252" s="37"/>
      <c r="Q252" s="37">
        <v>1494684.14</v>
      </c>
      <c r="R252" s="29">
        <f t="shared" si="21"/>
        <v>2120.540447748489</v>
      </c>
      <c r="S252" s="29">
        <v>14736.15</v>
      </c>
      <c r="T252" s="29" t="s">
        <v>1359</v>
      </c>
      <c r="U252" s="118">
        <v>6.3</v>
      </c>
      <c r="V252" s="296">
        <v>2018</v>
      </c>
    </row>
    <row r="253" spans="1:22" s="2" customFormat="1" ht="35.25" customHeight="1">
      <c r="A253" s="70">
        <v>181</v>
      </c>
      <c r="B253" s="99" t="s">
        <v>1045</v>
      </c>
      <c r="C253" s="35">
        <v>1957</v>
      </c>
      <c r="D253" s="35">
        <v>2015</v>
      </c>
      <c r="E253" s="29" t="s">
        <v>374</v>
      </c>
      <c r="F253" s="35">
        <v>2</v>
      </c>
      <c r="G253" s="35">
        <v>2</v>
      </c>
      <c r="H253" s="37">
        <v>685.5</v>
      </c>
      <c r="I253" s="37">
        <v>613.1</v>
      </c>
      <c r="J253" s="37">
        <v>354.5</v>
      </c>
      <c r="K253" s="36">
        <v>11</v>
      </c>
      <c r="L253" s="29" t="s">
        <v>489</v>
      </c>
      <c r="M253" s="37">
        <v>1494684.14</v>
      </c>
      <c r="N253" s="37"/>
      <c r="O253" s="37"/>
      <c r="P253" s="37"/>
      <c r="Q253" s="37">
        <v>1494684.14</v>
      </c>
      <c r="R253" s="29">
        <f t="shared" si="21"/>
        <v>2437.9124775729892</v>
      </c>
      <c r="S253" s="29">
        <v>14736.15</v>
      </c>
      <c r="T253" s="29" t="s">
        <v>1359</v>
      </c>
      <c r="U253" s="118">
        <v>6.3</v>
      </c>
      <c r="V253" s="296">
        <v>2018</v>
      </c>
    </row>
    <row r="254" spans="1:22" s="2" customFormat="1" ht="45">
      <c r="A254" s="70">
        <v>182</v>
      </c>
      <c r="B254" s="99" t="s">
        <v>1046</v>
      </c>
      <c r="C254" s="35">
        <v>1960</v>
      </c>
      <c r="D254" s="35">
        <v>2008</v>
      </c>
      <c r="E254" s="29" t="s">
        <v>374</v>
      </c>
      <c r="F254" s="35">
        <v>2</v>
      </c>
      <c r="G254" s="35">
        <v>1</v>
      </c>
      <c r="H254" s="37">
        <v>283.65</v>
      </c>
      <c r="I254" s="37">
        <v>262.41</v>
      </c>
      <c r="J254" s="37">
        <v>241.17</v>
      </c>
      <c r="K254" s="36">
        <v>18</v>
      </c>
      <c r="L254" s="29" t="s">
        <v>720</v>
      </c>
      <c r="M254" s="37">
        <v>671176.13</v>
      </c>
      <c r="N254" s="37"/>
      <c r="O254" s="37"/>
      <c r="P254" s="37"/>
      <c r="Q254" s="37">
        <v>671176.13</v>
      </c>
      <c r="R254" s="29">
        <f t="shared" si="21"/>
        <v>2557.7383864944168</v>
      </c>
      <c r="S254" s="29">
        <v>14736.15</v>
      </c>
      <c r="T254" s="29" t="s">
        <v>1359</v>
      </c>
      <c r="U254" s="118">
        <v>6.3</v>
      </c>
      <c r="V254" s="296">
        <v>2018</v>
      </c>
    </row>
    <row r="255" spans="1:22" s="2" customFormat="1" ht="15">
      <c r="A255" s="70"/>
      <c r="B255" s="112" t="s">
        <v>1614</v>
      </c>
      <c r="C255" s="121"/>
      <c r="D255" s="121"/>
      <c r="E255" s="122"/>
      <c r="F255" s="121"/>
      <c r="G255" s="121"/>
      <c r="H255" s="123">
        <f>SUM(H246:H254)</f>
        <v>9403.169999999998</v>
      </c>
      <c r="I255" s="123">
        <f aca="true" t="shared" si="22" ref="I255:Q255">SUM(I246:I254)</f>
        <v>8664.81</v>
      </c>
      <c r="J255" s="123">
        <f t="shared" si="22"/>
        <v>6807.7300000000005</v>
      </c>
      <c r="K255" s="124">
        <f t="shared" si="22"/>
        <v>307</v>
      </c>
      <c r="L255" s="123"/>
      <c r="M255" s="123">
        <f t="shared" si="22"/>
        <v>14700805.73</v>
      </c>
      <c r="N255" s="123"/>
      <c r="O255" s="123"/>
      <c r="P255" s="123"/>
      <c r="Q255" s="123">
        <f t="shared" si="22"/>
        <v>14700805.73</v>
      </c>
      <c r="R255" s="96">
        <f>M255/I255</f>
        <v>1696.6102811256105</v>
      </c>
      <c r="S255" s="29"/>
      <c r="T255" s="76"/>
      <c r="U255" s="118"/>
      <c r="V255" s="296"/>
    </row>
    <row r="256" spans="1:22" s="2" customFormat="1" ht="15">
      <c r="A256" s="300" t="s">
        <v>1372</v>
      </c>
      <c r="B256" s="301"/>
      <c r="C256" s="301"/>
      <c r="D256" s="301"/>
      <c r="E256" s="301"/>
      <c r="F256" s="301"/>
      <c r="G256" s="301"/>
      <c r="H256" s="301"/>
      <c r="I256" s="301"/>
      <c r="J256" s="301"/>
      <c r="K256" s="301"/>
      <c r="L256" s="301"/>
      <c r="M256" s="301"/>
      <c r="N256" s="301"/>
      <c r="O256" s="301"/>
      <c r="P256" s="301"/>
      <c r="Q256" s="302"/>
      <c r="R256" s="301"/>
      <c r="S256" s="301"/>
      <c r="T256" s="301"/>
      <c r="U256" s="303"/>
      <c r="V256" s="296"/>
    </row>
    <row r="257" spans="1:22" s="2" customFormat="1" ht="105">
      <c r="A257" s="70">
        <v>183</v>
      </c>
      <c r="B257" s="99" t="s">
        <v>177</v>
      </c>
      <c r="C257" s="35" t="s">
        <v>1601</v>
      </c>
      <c r="D257" s="35">
        <v>2016</v>
      </c>
      <c r="E257" s="29" t="s">
        <v>374</v>
      </c>
      <c r="F257" s="35" t="s">
        <v>1072</v>
      </c>
      <c r="G257" s="35" t="s">
        <v>1072</v>
      </c>
      <c r="H257" s="37">
        <v>3341</v>
      </c>
      <c r="I257" s="37">
        <v>3037</v>
      </c>
      <c r="J257" s="37">
        <v>2720.5</v>
      </c>
      <c r="K257" s="36">
        <v>158</v>
      </c>
      <c r="L257" s="29" t="s">
        <v>1146</v>
      </c>
      <c r="M257" s="37">
        <v>3579324.55</v>
      </c>
      <c r="N257" s="37"/>
      <c r="O257" s="37"/>
      <c r="P257" s="37"/>
      <c r="Q257" s="37">
        <v>3579324.55</v>
      </c>
      <c r="R257" s="37">
        <f aca="true" t="shared" si="23" ref="R257:R318">M257/I257</f>
        <v>1178.572456371419</v>
      </c>
      <c r="S257" s="29">
        <v>14736.15</v>
      </c>
      <c r="T257" s="24" t="s">
        <v>1359</v>
      </c>
      <c r="U257" s="118">
        <v>6.3</v>
      </c>
      <c r="V257" s="296">
        <v>2018</v>
      </c>
    </row>
    <row r="258" spans="1:22" s="2" customFormat="1" ht="45">
      <c r="A258" s="70">
        <v>184</v>
      </c>
      <c r="B258" s="99" t="s">
        <v>1152</v>
      </c>
      <c r="C258" s="35" t="s">
        <v>1603</v>
      </c>
      <c r="D258" s="35">
        <v>2015</v>
      </c>
      <c r="E258" s="29" t="s">
        <v>374</v>
      </c>
      <c r="F258" s="35" t="s">
        <v>1078</v>
      </c>
      <c r="G258" s="35" t="s">
        <v>1078</v>
      </c>
      <c r="H258" s="37">
        <v>361.8</v>
      </c>
      <c r="I258" s="37">
        <v>361.8</v>
      </c>
      <c r="J258" s="37">
        <v>361.8</v>
      </c>
      <c r="K258" s="36">
        <v>19</v>
      </c>
      <c r="L258" s="29" t="s">
        <v>384</v>
      </c>
      <c r="M258" s="37">
        <v>182004.98</v>
      </c>
      <c r="N258" s="37"/>
      <c r="O258" s="37"/>
      <c r="P258" s="37"/>
      <c r="Q258" s="37">
        <v>182004.98</v>
      </c>
      <c r="R258" s="37">
        <f t="shared" si="23"/>
        <v>503.0541182974019</v>
      </c>
      <c r="S258" s="29">
        <v>14736.15</v>
      </c>
      <c r="T258" s="24" t="s">
        <v>1359</v>
      </c>
      <c r="U258" s="118">
        <v>6.3</v>
      </c>
      <c r="V258" s="296">
        <v>2018</v>
      </c>
    </row>
    <row r="259" spans="1:22" s="2" customFormat="1" ht="195">
      <c r="A259" s="70">
        <v>185</v>
      </c>
      <c r="B259" s="99" t="s">
        <v>70</v>
      </c>
      <c r="C259" s="76" t="s">
        <v>1604</v>
      </c>
      <c r="D259" s="35">
        <v>2017</v>
      </c>
      <c r="E259" s="76" t="s">
        <v>494</v>
      </c>
      <c r="F259" s="76" t="s">
        <v>1073</v>
      </c>
      <c r="G259" s="76" t="s">
        <v>1075</v>
      </c>
      <c r="H259" s="37">
        <v>5866.9</v>
      </c>
      <c r="I259" s="37">
        <v>5261.3</v>
      </c>
      <c r="J259" s="37">
        <v>5010</v>
      </c>
      <c r="K259" s="36">
        <v>234</v>
      </c>
      <c r="L259" s="76" t="s">
        <v>849</v>
      </c>
      <c r="M259" s="37">
        <v>10621638.87</v>
      </c>
      <c r="N259" s="37"/>
      <c r="O259" s="37"/>
      <c r="P259" s="37"/>
      <c r="Q259" s="37">
        <v>10621638.87</v>
      </c>
      <c r="R259" s="37">
        <f t="shared" si="23"/>
        <v>2018.8240301826543</v>
      </c>
      <c r="S259" s="29">
        <v>14736.15</v>
      </c>
      <c r="T259" s="24" t="s">
        <v>1359</v>
      </c>
      <c r="U259" s="118">
        <v>6.3</v>
      </c>
      <c r="V259" s="296">
        <v>2018</v>
      </c>
    </row>
    <row r="260" spans="1:22" s="2" customFormat="1" ht="45">
      <c r="A260" s="70">
        <v>186</v>
      </c>
      <c r="B260" s="99" t="s">
        <v>69</v>
      </c>
      <c r="C260" s="76" t="s">
        <v>1605</v>
      </c>
      <c r="D260" s="35"/>
      <c r="E260" s="29" t="s">
        <v>374</v>
      </c>
      <c r="F260" s="76" t="s">
        <v>1070</v>
      </c>
      <c r="G260" s="76" t="s">
        <v>1071</v>
      </c>
      <c r="H260" s="37">
        <v>4423.7</v>
      </c>
      <c r="I260" s="37">
        <v>3804.6</v>
      </c>
      <c r="J260" s="37">
        <v>3521.9</v>
      </c>
      <c r="K260" s="36">
        <v>173</v>
      </c>
      <c r="L260" s="76" t="s">
        <v>497</v>
      </c>
      <c r="M260" s="37">
        <v>1024153.6</v>
      </c>
      <c r="N260" s="109"/>
      <c r="O260" s="109"/>
      <c r="P260" s="109"/>
      <c r="Q260" s="37">
        <v>1024153.6</v>
      </c>
      <c r="R260" s="37">
        <f t="shared" si="23"/>
        <v>269.18824580770644</v>
      </c>
      <c r="S260" s="29">
        <v>14736.15</v>
      </c>
      <c r="T260" s="24" t="s">
        <v>1359</v>
      </c>
      <c r="U260" s="118">
        <v>6.3</v>
      </c>
      <c r="V260" s="296">
        <v>2018</v>
      </c>
    </row>
    <row r="261" spans="1:22" s="2" customFormat="1" ht="105">
      <c r="A261" s="70">
        <v>187</v>
      </c>
      <c r="B261" s="99" t="s">
        <v>403</v>
      </c>
      <c r="C261" s="76" t="s">
        <v>404</v>
      </c>
      <c r="D261" s="35">
        <v>2015</v>
      </c>
      <c r="E261" s="29" t="s">
        <v>374</v>
      </c>
      <c r="F261" s="76" t="s">
        <v>1074</v>
      </c>
      <c r="G261" s="76" t="s">
        <v>1078</v>
      </c>
      <c r="H261" s="37">
        <v>1248.3</v>
      </c>
      <c r="I261" s="37">
        <v>1112</v>
      </c>
      <c r="J261" s="37">
        <v>1112</v>
      </c>
      <c r="K261" s="36">
        <v>35</v>
      </c>
      <c r="L261" s="76" t="s">
        <v>1602</v>
      </c>
      <c r="M261" s="37">
        <v>1719711.2</v>
      </c>
      <c r="N261" s="109"/>
      <c r="O261" s="109"/>
      <c r="P261" s="109"/>
      <c r="Q261" s="37">
        <v>1719711.2</v>
      </c>
      <c r="R261" s="37">
        <f t="shared" si="23"/>
        <v>1546.5028776978418</v>
      </c>
      <c r="S261" s="29">
        <v>14736.15</v>
      </c>
      <c r="T261" s="24" t="s">
        <v>1359</v>
      </c>
      <c r="U261" s="118">
        <v>6.3</v>
      </c>
      <c r="V261" s="296">
        <v>2018</v>
      </c>
    </row>
    <row r="262" spans="1:22" s="2" customFormat="1" ht="45">
      <c r="A262" s="70">
        <v>188</v>
      </c>
      <c r="B262" s="99" t="s">
        <v>405</v>
      </c>
      <c r="C262" s="76" t="s">
        <v>406</v>
      </c>
      <c r="D262" s="35"/>
      <c r="E262" s="29" t="s">
        <v>374</v>
      </c>
      <c r="F262" s="76" t="s">
        <v>1073</v>
      </c>
      <c r="G262" s="76" t="s">
        <v>1074</v>
      </c>
      <c r="H262" s="37">
        <v>2692.9</v>
      </c>
      <c r="I262" s="37">
        <v>2467.9</v>
      </c>
      <c r="J262" s="37">
        <v>2212.8</v>
      </c>
      <c r="K262" s="36">
        <v>138</v>
      </c>
      <c r="L262" s="29" t="s">
        <v>384</v>
      </c>
      <c r="M262" s="37">
        <v>757694.27</v>
      </c>
      <c r="N262" s="109"/>
      <c r="O262" s="109"/>
      <c r="P262" s="109"/>
      <c r="Q262" s="37">
        <v>757694.27</v>
      </c>
      <c r="R262" s="37">
        <f t="shared" si="23"/>
        <v>307.01984278131204</v>
      </c>
      <c r="S262" s="29">
        <v>14736.15</v>
      </c>
      <c r="T262" s="24" t="s">
        <v>1359</v>
      </c>
      <c r="U262" s="118">
        <v>6.3</v>
      </c>
      <c r="V262" s="296">
        <v>2018</v>
      </c>
    </row>
    <row r="263" spans="1:22" s="2" customFormat="1" ht="105">
      <c r="A263" s="70">
        <v>189</v>
      </c>
      <c r="B263" s="99" t="s">
        <v>407</v>
      </c>
      <c r="C263" s="76">
        <v>1930</v>
      </c>
      <c r="D263" s="35"/>
      <c r="E263" s="29" t="s">
        <v>374</v>
      </c>
      <c r="F263" s="76">
        <v>3</v>
      </c>
      <c r="G263" s="76">
        <v>3</v>
      </c>
      <c r="H263" s="37">
        <v>1366.2</v>
      </c>
      <c r="I263" s="37">
        <v>1240.2</v>
      </c>
      <c r="J263" s="37">
        <v>950.57</v>
      </c>
      <c r="K263" s="36">
        <v>36</v>
      </c>
      <c r="L263" s="76" t="s">
        <v>1146</v>
      </c>
      <c r="M263" s="37">
        <v>1508996.42</v>
      </c>
      <c r="N263" s="109"/>
      <c r="O263" s="109"/>
      <c r="P263" s="109"/>
      <c r="Q263" s="37">
        <v>1508996.42</v>
      </c>
      <c r="R263" s="37">
        <f t="shared" si="23"/>
        <v>1216.7363489759716</v>
      </c>
      <c r="S263" s="29">
        <v>14736.15</v>
      </c>
      <c r="T263" s="24" t="s">
        <v>1359</v>
      </c>
      <c r="U263" s="118">
        <v>6.3</v>
      </c>
      <c r="V263" s="296">
        <v>2018</v>
      </c>
    </row>
    <row r="264" spans="1:22" s="2" customFormat="1" ht="90">
      <c r="A264" s="70">
        <v>190</v>
      </c>
      <c r="B264" s="99" t="s">
        <v>408</v>
      </c>
      <c r="C264" s="76">
        <v>1973</v>
      </c>
      <c r="D264" s="35">
        <v>2008</v>
      </c>
      <c r="E264" s="29" t="s">
        <v>374</v>
      </c>
      <c r="F264" s="76">
        <v>9</v>
      </c>
      <c r="G264" s="76">
        <v>1</v>
      </c>
      <c r="H264" s="37">
        <v>3065.5</v>
      </c>
      <c r="I264" s="37">
        <v>1708.5</v>
      </c>
      <c r="J264" s="37">
        <v>1474.8</v>
      </c>
      <c r="K264" s="36">
        <v>135</v>
      </c>
      <c r="L264" s="76" t="s">
        <v>789</v>
      </c>
      <c r="M264" s="37">
        <v>722119.61</v>
      </c>
      <c r="N264" s="109"/>
      <c r="O264" s="109"/>
      <c r="P264" s="109"/>
      <c r="Q264" s="37">
        <v>722119.61</v>
      </c>
      <c r="R264" s="37">
        <f t="shared" si="23"/>
        <v>422.66292654375184</v>
      </c>
      <c r="S264" s="29">
        <v>14736.15</v>
      </c>
      <c r="T264" s="24" t="s">
        <v>1359</v>
      </c>
      <c r="U264" s="118">
        <v>6.3</v>
      </c>
      <c r="V264" s="296">
        <v>2018</v>
      </c>
    </row>
    <row r="265" spans="1:22" s="2" customFormat="1" ht="90">
      <c r="A265" s="70">
        <v>191</v>
      </c>
      <c r="B265" s="99" t="s">
        <v>409</v>
      </c>
      <c r="C265" s="76">
        <v>1973</v>
      </c>
      <c r="D265" s="35">
        <v>2008</v>
      </c>
      <c r="E265" s="29" t="s">
        <v>374</v>
      </c>
      <c r="F265" s="76">
        <v>9</v>
      </c>
      <c r="G265" s="76">
        <v>1</v>
      </c>
      <c r="H265" s="37">
        <v>1556.97</v>
      </c>
      <c r="I265" s="37">
        <v>1556.97</v>
      </c>
      <c r="J265" s="37">
        <v>1503.69</v>
      </c>
      <c r="K265" s="36">
        <v>103</v>
      </c>
      <c r="L265" s="76" t="s">
        <v>790</v>
      </c>
      <c r="M265" s="37">
        <v>830885.74</v>
      </c>
      <c r="N265" s="109"/>
      <c r="O265" s="109"/>
      <c r="P265" s="109"/>
      <c r="Q265" s="37">
        <v>830885.74</v>
      </c>
      <c r="R265" s="37">
        <f t="shared" si="23"/>
        <v>533.6555874551211</v>
      </c>
      <c r="S265" s="29">
        <v>14736.15</v>
      </c>
      <c r="T265" s="24" t="s">
        <v>1359</v>
      </c>
      <c r="U265" s="118">
        <v>6.3</v>
      </c>
      <c r="V265" s="296">
        <v>2018</v>
      </c>
    </row>
    <row r="266" spans="1:22" s="2" customFormat="1" ht="90">
      <c r="A266" s="70">
        <v>192</v>
      </c>
      <c r="B266" s="99" t="s">
        <v>410</v>
      </c>
      <c r="C266" s="76">
        <v>1973</v>
      </c>
      <c r="D266" s="35">
        <v>2008</v>
      </c>
      <c r="E266" s="29" t="s">
        <v>374</v>
      </c>
      <c r="F266" s="76">
        <v>9</v>
      </c>
      <c r="G266" s="76">
        <v>1</v>
      </c>
      <c r="H266" s="37">
        <v>1653.85</v>
      </c>
      <c r="I266" s="37">
        <v>1653.85</v>
      </c>
      <c r="J266" s="37">
        <v>1354.95</v>
      </c>
      <c r="K266" s="36">
        <v>168</v>
      </c>
      <c r="L266" s="76" t="s">
        <v>586</v>
      </c>
      <c r="M266" s="37">
        <v>911071.49</v>
      </c>
      <c r="N266" s="109"/>
      <c r="O266" s="109"/>
      <c r="P266" s="109"/>
      <c r="Q266" s="37">
        <v>911071.49</v>
      </c>
      <c r="R266" s="37">
        <f t="shared" si="23"/>
        <v>550.8791546996403</v>
      </c>
      <c r="S266" s="29">
        <v>14736.15</v>
      </c>
      <c r="T266" s="24" t="s">
        <v>1359</v>
      </c>
      <c r="U266" s="118">
        <v>6.3</v>
      </c>
      <c r="V266" s="296">
        <v>2018</v>
      </c>
    </row>
    <row r="267" spans="1:22" s="14" customFormat="1" ht="90">
      <c r="A267" s="70">
        <v>193</v>
      </c>
      <c r="B267" s="99" t="s">
        <v>411</v>
      </c>
      <c r="C267" s="76">
        <v>1973</v>
      </c>
      <c r="D267" s="35">
        <v>2008</v>
      </c>
      <c r="E267" s="29" t="s">
        <v>374</v>
      </c>
      <c r="F267" s="76">
        <v>9</v>
      </c>
      <c r="G267" s="76">
        <v>1</v>
      </c>
      <c r="H267" s="37">
        <v>1272.2</v>
      </c>
      <c r="I267" s="37">
        <v>1272.2</v>
      </c>
      <c r="J267" s="37">
        <v>1153.4</v>
      </c>
      <c r="K267" s="36">
        <v>103</v>
      </c>
      <c r="L267" s="76" t="s">
        <v>789</v>
      </c>
      <c r="M267" s="37">
        <v>628685.5</v>
      </c>
      <c r="N267" s="109"/>
      <c r="O267" s="109"/>
      <c r="P267" s="109"/>
      <c r="Q267" s="37">
        <v>628685.5</v>
      </c>
      <c r="R267" s="37">
        <f t="shared" si="23"/>
        <v>494.17190693287216</v>
      </c>
      <c r="S267" s="29">
        <v>14736.15</v>
      </c>
      <c r="T267" s="24" t="s">
        <v>1359</v>
      </c>
      <c r="U267" s="118">
        <v>6.3</v>
      </c>
      <c r="V267" s="296">
        <v>2018</v>
      </c>
    </row>
    <row r="268" spans="1:22" ht="90">
      <c r="A268" s="70">
        <v>194</v>
      </c>
      <c r="B268" s="99" t="s">
        <v>412</v>
      </c>
      <c r="C268" s="76">
        <v>1973</v>
      </c>
      <c r="D268" s="35">
        <v>2008</v>
      </c>
      <c r="E268" s="29" t="s">
        <v>374</v>
      </c>
      <c r="F268" s="76">
        <v>9</v>
      </c>
      <c r="G268" s="76">
        <v>1</v>
      </c>
      <c r="H268" s="37">
        <v>1761.72</v>
      </c>
      <c r="I268" s="37">
        <v>1761.72</v>
      </c>
      <c r="J268" s="37">
        <v>1536.18</v>
      </c>
      <c r="K268" s="36">
        <v>124</v>
      </c>
      <c r="L268" s="76" t="s">
        <v>789</v>
      </c>
      <c r="M268" s="37">
        <v>838779.96</v>
      </c>
      <c r="N268" s="109"/>
      <c r="O268" s="109"/>
      <c r="P268" s="109"/>
      <c r="Q268" s="37">
        <v>838779.96</v>
      </c>
      <c r="R268" s="37">
        <f t="shared" si="23"/>
        <v>476.11422927593486</v>
      </c>
      <c r="S268" s="29">
        <v>14736.15</v>
      </c>
      <c r="T268" s="24" t="s">
        <v>1359</v>
      </c>
      <c r="U268" s="118">
        <v>6.3</v>
      </c>
      <c r="V268" s="296">
        <v>2018</v>
      </c>
    </row>
    <row r="269" spans="1:22" ht="90">
      <c r="A269" s="70">
        <v>195</v>
      </c>
      <c r="B269" s="99" t="s">
        <v>413</v>
      </c>
      <c r="C269" s="76">
        <v>1973</v>
      </c>
      <c r="D269" s="35">
        <v>2008</v>
      </c>
      <c r="E269" s="29" t="s">
        <v>374</v>
      </c>
      <c r="F269" s="76">
        <v>9</v>
      </c>
      <c r="G269" s="76">
        <v>1</v>
      </c>
      <c r="H269" s="37">
        <v>1850.3</v>
      </c>
      <c r="I269" s="37">
        <v>1850.3</v>
      </c>
      <c r="J269" s="37">
        <v>1483.9</v>
      </c>
      <c r="K269" s="36">
        <v>100</v>
      </c>
      <c r="L269" s="76" t="s">
        <v>789</v>
      </c>
      <c r="M269" s="37">
        <v>649376.39</v>
      </c>
      <c r="N269" s="109"/>
      <c r="O269" s="109"/>
      <c r="P269" s="109"/>
      <c r="Q269" s="37">
        <v>649376.39</v>
      </c>
      <c r="R269" s="37">
        <f t="shared" si="23"/>
        <v>350.9573528616981</v>
      </c>
      <c r="S269" s="29">
        <v>14736.15</v>
      </c>
      <c r="T269" s="24" t="s">
        <v>1359</v>
      </c>
      <c r="U269" s="118">
        <v>6.3</v>
      </c>
      <c r="V269" s="296">
        <v>2018</v>
      </c>
    </row>
    <row r="270" spans="1:22" ht="45">
      <c r="A270" s="70">
        <v>196</v>
      </c>
      <c r="B270" s="99" t="s">
        <v>414</v>
      </c>
      <c r="C270" s="76" t="s">
        <v>415</v>
      </c>
      <c r="D270" s="35"/>
      <c r="E270" s="29" t="s">
        <v>374</v>
      </c>
      <c r="F270" s="76" t="s">
        <v>1074</v>
      </c>
      <c r="G270" s="76" t="s">
        <v>1078</v>
      </c>
      <c r="H270" s="37">
        <v>767.7</v>
      </c>
      <c r="I270" s="37">
        <v>716.7</v>
      </c>
      <c r="J270" s="37">
        <v>607.3</v>
      </c>
      <c r="K270" s="36">
        <v>43</v>
      </c>
      <c r="L270" s="76" t="s">
        <v>497</v>
      </c>
      <c r="M270" s="37">
        <v>1079169.81</v>
      </c>
      <c r="N270" s="109"/>
      <c r="O270" s="109"/>
      <c r="P270" s="109"/>
      <c r="Q270" s="37">
        <v>1079169.81</v>
      </c>
      <c r="R270" s="37">
        <f t="shared" si="23"/>
        <v>1505.7483047300125</v>
      </c>
      <c r="S270" s="29">
        <v>14736.15</v>
      </c>
      <c r="T270" s="24" t="s">
        <v>1359</v>
      </c>
      <c r="U270" s="118">
        <v>6.3</v>
      </c>
      <c r="V270" s="296">
        <v>2018</v>
      </c>
    </row>
    <row r="271" spans="1:22" ht="105">
      <c r="A271" s="70">
        <v>197</v>
      </c>
      <c r="B271" s="99" t="s">
        <v>416</v>
      </c>
      <c r="C271" s="76" t="s">
        <v>417</v>
      </c>
      <c r="D271" s="35">
        <v>2009</v>
      </c>
      <c r="E271" s="29" t="s">
        <v>374</v>
      </c>
      <c r="F271" s="76" t="s">
        <v>1077</v>
      </c>
      <c r="G271" s="76" t="s">
        <v>1071</v>
      </c>
      <c r="H271" s="37">
        <v>6350.86</v>
      </c>
      <c r="I271" s="37">
        <v>5818.86</v>
      </c>
      <c r="J271" s="37">
        <v>5610.06</v>
      </c>
      <c r="K271" s="36">
        <v>387</v>
      </c>
      <c r="L271" s="76" t="s">
        <v>1602</v>
      </c>
      <c r="M271" s="37">
        <v>4888246.53</v>
      </c>
      <c r="N271" s="109"/>
      <c r="O271" s="109"/>
      <c r="P271" s="109"/>
      <c r="Q271" s="37">
        <v>4888246.53</v>
      </c>
      <c r="R271" s="37">
        <f t="shared" si="23"/>
        <v>840.0694517482807</v>
      </c>
      <c r="S271" s="29">
        <v>14736.15</v>
      </c>
      <c r="T271" s="24" t="s">
        <v>1359</v>
      </c>
      <c r="U271" s="118">
        <v>6.3</v>
      </c>
      <c r="V271" s="296">
        <v>2018</v>
      </c>
    </row>
    <row r="272" spans="1:22" ht="120">
      <c r="A272" s="70">
        <v>198</v>
      </c>
      <c r="B272" s="99" t="s">
        <v>1647</v>
      </c>
      <c r="C272" s="76" t="s">
        <v>419</v>
      </c>
      <c r="D272" s="35">
        <v>2013</v>
      </c>
      <c r="E272" s="29" t="s">
        <v>374</v>
      </c>
      <c r="F272" s="76" t="s">
        <v>1077</v>
      </c>
      <c r="G272" s="76" t="s">
        <v>1071</v>
      </c>
      <c r="H272" s="37">
        <v>6620.15</v>
      </c>
      <c r="I272" s="37">
        <v>6100.05</v>
      </c>
      <c r="J272" s="37">
        <v>5462.81</v>
      </c>
      <c r="K272" s="36">
        <v>361</v>
      </c>
      <c r="L272" s="24" t="s">
        <v>587</v>
      </c>
      <c r="M272" s="37">
        <v>4537197.57</v>
      </c>
      <c r="N272" s="109"/>
      <c r="O272" s="109"/>
      <c r="P272" s="109"/>
      <c r="Q272" s="37">
        <v>4537197.57</v>
      </c>
      <c r="R272" s="37">
        <f t="shared" si="23"/>
        <v>743.7967836329211</v>
      </c>
      <c r="S272" s="29">
        <v>14736.15</v>
      </c>
      <c r="T272" s="24" t="s">
        <v>1359</v>
      </c>
      <c r="U272" s="118">
        <v>6.3</v>
      </c>
      <c r="V272" s="296">
        <v>2018</v>
      </c>
    </row>
    <row r="273" spans="1:22" ht="120">
      <c r="A273" s="70">
        <v>199</v>
      </c>
      <c r="B273" s="99" t="s">
        <v>42</v>
      </c>
      <c r="C273" s="76" t="s">
        <v>420</v>
      </c>
      <c r="D273" s="35">
        <v>2013</v>
      </c>
      <c r="E273" s="76" t="s">
        <v>494</v>
      </c>
      <c r="F273" s="76" t="s">
        <v>1073</v>
      </c>
      <c r="G273" s="76" t="s">
        <v>1072</v>
      </c>
      <c r="H273" s="37">
        <v>3341.8</v>
      </c>
      <c r="I273" s="37">
        <v>3013.8</v>
      </c>
      <c r="J273" s="37">
        <v>2748.1</v>
      </c>
      <c r="K273" s="36">
        <v>164</v>
      </c>
      <c r="L273" s="76" t="s">
        <v>228</v>
      </c>
      <c r="M273" s="37">
        <v>2667678.4</v>
      </c>
      <c r="N273" s="109"/>
      <c r="O273" s="109"/>
      <c r="P273" s="109"/>
      <c r="Q273" s="37">
        <v>2667678.4</v>
      </c>
      <c r="R273" s="37">
        <f t="shared" si="23"/>
        <v>885.1544229875904</v>
      </c>
      <c r="S273" s="29">
        <v>14736.15</v>
      </c>
      <c r="T273" s="24" t="s">
        <v>1359</v>
      </c>
      <c r="U273" s="118">
        <v>6.3</v>
      </c>
      <c r="V273" s="296">
        <v>2018</v>
      </c>
    </row>
    <row r="274" spans="1:22" ht="165">
      <c r="A274" s="70">
        <v>200</v>
      </c>
      <c r="B274" s="99" t="s">
        <v>43</v>
      </c>
      <c r="C274" s="76" t="s">
        <v>1604</v>
      </c>
      <c r="D274" s="35"/>
      <c r="E274" s="76" t="s">
        <v>494</v>
      </c>
      <c r="F274" s="76" t="s">
        <v>1073</v>
      </c>
      <c r="G274" s="76" t="s">
        <v>1072</v>
      </c>
      <c r="H274" s="37">
        <v>3347.3</v>
      </c>
      <c r="I274" s="37">
        <v>2991.3</v>
      </c>
      <c r="J274" s="37">
        <v>2571.7</v>
      </c>
      <c r="K274" s="36">
        <v>160</v>
      </c>
      <c r="L274" s="76" t="s">
        <v>100</v>
      </c>
      <c r="M274" s="37">
        <v>6059882.53</v>
      </c>
      <c r="N274" s="109"/>
      <c r="O274" s="109"/>
      <c r="P274" s="109"/>
      <c r="Q274" s="37">
        <v>6059882.53</v>
      </c>
      <c r="R274" s="37">
        <f t="shared" si="23"/>
        <v>2025.835767057801</v>
      </c>
      <c r="S274" s="29">
        <v>14736.15</v>
      </c>
      <c r="T274" s="24" t="s">
        <v>1359</v>
      </c>
      <c r="U274" s="118">
        <v>6.3</v>
      </c>
      <c r="V274" s="296">
        <v>2018</v>
      </c>
    </row>
    <row r="275" spans="1:22" ht="165">
      <c r="A275" s="70">
        <v>201</v>
      </c>
      <c r="B275" s="99" t="s">
        <v>421</v>
      </c>
      <c r="C275" s="76" t="s">
        <v>415</v>
      </c>
      <c r="D275" s="35">
        <v>2015</v>
      </c>
      <c r="E275" s="29" t="s">
        <v>374</v>
      </c>
      <c r="F275" s="76" t="s">
        <v>1072</v>
      </c>
      <c r="G275" s="76" t="s">
        <v>1072</v>
      </c>
      <c r="H275" s="37">
        <v>2720.8</v>
      </c>
      <c r="I275" s="37">
        <v>2161.5</v>
      </c>
      <c r="J275" s="37">
        <v>1429.2</v>
      </c>
      <c r="K275" s="36">
        <v>113</v>
      </c>
      <c r="L275" s="76" t="s">
        <v>91</v>
      </c>
      <c r="M275" s="37">
        <v>5389015.85</v>
      </c>
      <c r="N275" s="109"/>
      <c r="O275" s="109"/>
      <c r="P275" s="109"/>
      <c r="Q275" s="37">
        <v>5389015.85</v>
      </c>
      <c r="R275" s="37">
        <f t="shared" si="23"/>
        <v>2493.1833680314594</v>
      </c>
      <c r="S275" s="29">
        <v>14736.15</v>
      </c>
      <c r="T275" s="24" t="s">
        <v>1359</v>
      </c>
      <c r="U275" s="118">
        <v>6.3</v>
      </c>
      <c r="V275" s="296">
        <v>2018</v>
      </c>
    </row>
    <row r="276" spans="1:22" ht="60">
      <c r="A276" s="70">
        <v>202</v>
      </c>
      <c r="B276" s="99" t="s">
        <v>422</v>
      </c>
      <c r="C276" s="76" t="s">
        <v>1601</v>
      </c>
      <c r="D276" s="35"/>
      <c r="E276" s="29" t="s">
        <v>374</v>
      </c>
      <c r="F276" s="76" t="s">
        <v>1076</v>
      </c>
      <c r="G276" s="76" t="s">
        <v>1074</v>
      </c>
      <c r="H276" s="37">
        <v>3228.3</v>
      </c>
      <c r="I276" s="37">
        <v>2705.2</v>
      </c>
      <c r="J276" s="37">
        <v>1765.45</v>
      </c>
      <c r="K276" s="36">
        <v>124</v>
      </c>
      <c r="L276" s="24" t="s">
        <v>92</v>
      </c>
      <c r="M276" s="37">
        <v>940592.49</v>
      </c>
      <c r="N276" s="109"/>
      <c r="O276" s="109"/>
      <c r="P276" s="109"/>
      <c r="Q276" s="37">
        <v>940592.49</v>
      </c>
      <c r="R276" s="37">
        <f t="shared" si="23"/>
        <v>347.69794839568243</v>
      </c>
      <c r="S276" s="29">
        <v>14736.15</v>
      </c>
      <c r="T276" s="24" t="s">
        <v>1359</v>
      </c>
      <c r="U276" s="118">
        <v>6.3</v>
      </c>
      <c r="V276" s="296">
        <v>2018</v>
      </c>
    </row>
    <row r="277" spans="1:22" ht="75">
      <c r="A277" s="70">
        <v>203</v>
      </c>
      <c r="B277" s="99" t="s">
        <v>423</v>
      </c>
      <c r="C277" s="76" t="s">
        <v>415</v>
      </c>
      <c r="D277" s="35">
        <v>2013</v>
      </c>
      <c r="E277" s="29" t="s">
        <v>374</v>
      </c>
      <c r="F277" s="76" t="s">
        <v>1073</v>
      </c>
      <c r="G277" s="76" t="s">
        <v>1072</v>
      </c>
      <c r="H277" s="37">
        <v>2954.24</v>
      </c>
      <c r="I277" s="37">
        <v>2480.34</v>
      </c>
      <c r="J277" s="37">
        <v>1601</v>
      </c>
      <c r="K277" s="36">
        <v>118</v>
      </c>
      <c r="L277" s="76" t="s">
        <v>93</v>
      </c>
      <c r="M277" s="37">
        <v>2144473.5</v>
      </c>
      <c r="N277" s="109"/>
      <c r="O277" s="109"/>
      <c r="P277" s="109"/>
      <c r="Q277" s="37">
        <v>2144473.5</v>
      </c>
      <c r="R277" s="37">
        <f t="shared" si="23"/>
        <v>864.5885241539465</v>
      </c>
      <c r="S277" s="29">
        <v>14736.15</v>
      </c>
      <c r="T277" s="24" t="s">
        <v>1359</v>
      </c>
      <c r="U277" s="118">
        <v>6.3</v>
      </c>
      <c r="V277" s="296">
        <v>2018</v>
      </c>
    </row>
    <row r="278" spans="1:22" ht="45">
      <c r="A278" s="70">
        <v>204</v>
      </c>
      <c r="B278" s="99" t="s">
        <v>424</v>
      </c>
      <c r="C278" s="76" t="s">
        <v>425</v>
      </c>
      <c r="D278" s="35">
        <v>2008</v>
      </c>
      <c r="E278" s="29" t="s">
        <v>374</v>
      </c>
      <c r="F278" s="76" t="s">
        <v>1073</v>
      </c>
      <c r="G278" s="76" t="s">
        <v>1074</v>
      </c>
      <c r="H278" s="37">
        <v>3176.5</v>
      </c>
      <c r="I278" s="37">
        <v>2862.8</v>
      </c>
      <c r="J278" s="37">
        <v>2691</v>
      </c>
      <c r="K278" s="36">
        <v>96</v>
      </c>
      <c r="L278" s="24" t="s">
        <v>496</v>
      </c>
      <c r="M278" s="37">
        <v>3132650.22</v>
      </c>
      <c r="N278" s="109"/>
      <c r="O278" s="109"/>
      <c r="P278" s="109"/>
      <c r="Q278" s="37">
        <v>3132650.22</v>
      </c>
      <c r="R278" s="37">
        <f t="shared" si="23"/>
        <v>1094.2609403381305</v>
      </c>
      <c r="S278" s="29">
        <v>14736.15</v>
      </c>
      <c r="T278" s="24" t="s">
        <v>1359</v>
      </c>
      <c r="U278" s="118">
        <v>6.3</v>
      </c>
      <c r="V278" s="296">
        <v>2018</v>
      </c>
    </row>
    <row r="279" spans="1:22" ht="45">
      <c r="A279" s="70">
        <v>205</v>
      </c>
      <c r="B279" s="99" t="s">
        <v>426</v>
      </c>
      <c r="C279" s="76" t="s">
        <v>415</v>
      </c>
      <c r="D279" s="35"/>
      <c r="E279" s="29" t="s">
        <v>374</v>
      </c>
      <c r="F279" s="76" t="s">
        <v>1072</v>
      </c>
      <c r="G279" s="76" t="s">
        <v>1078</v>
      </c>
      <c r="H279" s="37">
        <v>1363.4</v>
      </c>
      <c r="I279" s="37">
        <v>1103.2</v>
      </c>
      <c r="J279" s="37">
        <v>687.5</v>
      </c>
      <c r="K279" s="36">
        <v>54</v>
      </c>
      <c r="L279" s="24" t="s">
        <v>94</v>
      </c>
      <c r="M279" s="37">
        <v>363891.3</v>
      </c>
      <c r="N279" s="109"/>
      <c r="O279" s="109"/>
      <c r="P279" s="109"/>
      <c r="Q279" s="37">
        <v>363891.3</v>
      </c>
      <c r="R279" s="37">
        <f t="shared" si="23"/>
        <v>329.85070703408263</v>
      </c>
      <c r="S279" s="29">
        <v>14736.15</v>
      </c>
      <c r="T279" s="24" t="s">
        <v>1359</v>
      </c>
      <c r="U279" s="118">
        <v>6.3</v>
      </c>
      <c r="V279" s="296">
        <v>2018</v>
      </c>
    </row>
    <row r="280" spans="1:22" ht="165">
      <c r="A280" s="70">
        <v>206</v>
      </c>
      <c r="B280" s="99" t="s">
        <v>427</v>
      </c>
      <c r="C280" s="76" t="s">
        <v>428</v>
      </c>
      <c r="D280" s="35"/>
      <c r="E280" s="29" t="s">
        <v>374</v>
      </c>
      <c r="F280" s="76" t="s">
        <v>1072</v>
      </c>
      <c r="G280" s="76" t="s">
        <v>1078</v>
      </c>
      <c r="H280" s="37">
        <v>1417.4</v>
      </c>
      <c r="I280" s="37">
        <v>1257.4</v>
      </c>
      <c r="J280" s="37">
        <v>1226</v>
      </c>
      <c r="K280" s="36">
        <v>60</v>
      </c>
      <c r="L280" s="66" t="s">
        <v>1038</v>
      </c>
      <c r="M280" s="37">
        <v>3789290.87</v>
      </c>
      <c r="N280" s="109"/>
      <c r="O280" s="109"/>
      <c r="P280" s="109"/>
      <c r="Q280" s="37">
        <v>3789290.87</v>
      </c>
      <c r="R280" s="37">
        <f t="shared" si="23"/>
        <v>3013.5922299984095</v>
      </c>
      <c r="S280" s="29">
        <v>14736.15</v>
      </c>
      <c r="T280" s="24" t="s">
        <v>1359</v>
      </c>
      <c r="U280" s="118">
        <v>6.3</v>
      </c>
      <c r="V280" s="296">
        <v>2018</v>
      </c>
    </row>
    <row r="281" spans="1:22" ht="75">
      <c r="A281" s="70">
        <v>207</v>
      </c>
      <c r="B281" s="99" t="s">
        <v>429</v>
      </c>
      <c r="C281" s="76" t="s">
        <v>1601</v>
      </c>
      <c r="D281" s="35" t="s">
        <v>430</v>
      </c>
      <c r="E281" s="29" t="s">
        <v>374</v>
      </c>
      <c r="F281" s="76" t="s">
        <v>1073</v>
      </c>
      <c r="G281" s="76" t="s">
        <v>1072</v>
      </c>
      <c r="H281" s="37">
        <v>3372.1</v>
      </c>
      <c r="I281" s="37">
        <v>2896.2</v>
      </c>
      <c r="J281" s="37">
        <v>1866.14</v>
      </c>
      <c r="K281" s="36">
        <v>119</v>
      </c>
      <c r="L281" s="24" t="s">
        <v>506</v>
      </c>
      <c r="M281" s="37">
        <v>2190160.47</v>
      </c>
      <c r="N281" s="109"/>
      <c r="O281" s="109"/>
      <c r="P281" s="109"/>
      <c r="Q281" s="37">
        <v>2190160.47</v>
      </c>
      <c r="R281" s="37">
        <f t="shared" si="23"/>
        <v>756.2186554795941</v>
      </c>
      <c r="S281" s="29">
        <v>14736.15</v>
      </c>
      <c r="T281" s="24" t="s">
        <v>1359</v>
      </c>
      <c r="U281" s="118">
        <v>6.3</v>
      </c>
      <c r="V281" s="296">
        <v>2018</v>
      </c>
    </row>
    <row r="282" spans="1:22" ht="120">
      <c r="A282" s="70">
        <v>208</v>
      </c>
      <c r="B282" s="99" t="s">
        <v>431</v>
      </c>
      <c r="C282" s="76" t="s">
        <v>432</v>
      </c>
      <c r="D282" s="35">
        <v>2014</v>
      </c>
      <c r="E282" s="29" t="s">
        <v>374</v>
      </c>
      <c r="F282" s="76" t="s">
        <v>1072</v>
      </c>
      <c r="G282" s="76" t="s">
        <v>1078</v>
      </c>
      <c r="H282" s="37">
        <v>1339</v>
      </c>
      <c r="I282" s="37">
        <v>1143.7</v>
      </c>
      <c r="J282" s="37">
        <v>746.8</v>
      </c>
      <c r="K282" s="36">
        <v>49</v>
      </c>
      <c r="L282" s="76" t="s">
        <v>1425</v>
      </c>
      <c r="M282" s="37">
        <v>3205827.37</v>
      </c>
      <c r="N282" s="109"/>
      <c r="O282" s="109"/>
      <c r="P282" s="109"/>
      <c r="Q282" s="37">
        <v>3205827.37</v>
      </c>
      <c r="R282" s="37">
        <f t="shared" si="23"/>
        <v>2803.0317128617644</v>
      </c>
      <c r="S282" s="29">
        <v>14736.15</v>
      </c>
      <c r="T282" s="24" t="s">
        <v>1359</v>
      </c>
      <c r="U282" s="118">
        <v>6.3</v>
      </c>
      <c r="V282" s="296">
        <v>2018</v>
      </c>
    </row>
    <row r="283" spans="1:22" ht="75">
      <c r="A283" s="70">
        <v>209</v>
      </c>
      <c r="B283" s="99" t="s">
        <v>433</v>
      </c>
      <c r="C283" s="76" t="s">
        <v>415</v>
      </c>
      <c r="D283" s="35">
        <v>2008</v>
      </c>
      <c r="E283" s="29" t="s">
        <v>374</v>
      </c>
      <c r="F283" s="76" t="s">
        <v>1073</v>
      </c>
      <c r="G283" s="76" t="s">
        <v>1074</v>
      </c>
      <c r="H283" s="37">
        <v>2515.3</v>
      </c>
      <c r="I283" s="37">
        <v>2136.2</v>
      </c>
      <c r="J283" s="37">
        <v>1422.12</v>
      </c>
      <c r="K283" s="36">
        <v>185</v>
      </c>
      <c r="L283" s="76" t="s">
        <v>1162</v>
      </c>
      <c r="M283" s="37">
        <v>1070715.9</v>
      </c>
      <c r="N283" s="109"/>
      <c r="O283" s="109"/>
      <c r="P283" s="109"/>
      <c r="Q283" s="37">
        <v>1070715.9</v>
      </c>
      <c r="R283" s="37">
        <f t="shared" si="23"/>
        <v>501.22455762569047</v>
      </c>
      <c r="S283" s="29">
        <v>14736.15</v>
      </c>
      <c r="T283" s="24" t="s">
        <v>1359</v>
      </c>
      <c r="U283" s="118">
        <v>6.3</v>
      </c>
      <c r="V283" s="296">
        <v>2018</v>
      </c>
    </row>
    <row r="284" spans="1:22" ht="60">
      <c r="A284" s="70">
        <v>210</v>
      </c>
      <c r="B284" s="99" t="s">
        <v>1530</v>
      </c>
      <c r="C284" s="76" t="s">
        <v>425</v>
      </c>
      <c r="D284" s="35"/>
      <c r="E284" s="29" t="s">
        <v>374</v>
      </c>
      <c r="F284" s="76" t="s">
        <v>1073</v>
      </c>
      <c r="G284" s="76" t="s">
        <v>1072</v>
      </c>
      <c r="H284" s="37">
        <v>3603.9</v>
      </c>
      <c r="I284" s="37">
        <v>2506.3</v>
      </c>
      <c r="J284" s="37">
        <v>1630.7</v>
      </c>
      <c r="K284" s="36">
        <v>118</v>
      </c>
      <c r="L284" s="66" t="s">
        <v>1039</v>
      </c>
      <c r="M284" s="37">
        <v>4584405.35</v>
      </c>
      <c r="N284" s="109"/>
      <c r="O284" s="109"/>
      <c r="P284" s="109"/>
      <c r="Q284" s="37">
        <v>4584405.35</v>
      </c>
      <c r="R284" s="37">
        <f t="shared" si="23"/>
        <v>1829.1526752583486</v>
      </c>
      <c r="S284" s="29">
        <v>14736.15</v>
      </c>
      <c r="T284" s="24" t="s">
        <v>1359</v>
      </c>
      <c r="U284" s="118">
        <v>6.3</v>
      </c>
      <c r="V284" s="296">
        <v>2018</v>
      </c>
    </row>
    <row r="285" spans="1:22" ht="90">
      <c r="A285" s="70">
        <v>211</v>
      </c>
      <c r="B285" s="99" t="s">
        <v>1531</v>
      </c>
      <c r="C285" s="76" t="s">
        <v>425</v>
      </c>
      <c r="D285" s="35"/>
      <c r="E285" s="29" t="s">
        <v>374</v>
      </c>
      <c r="F285" s="76" t="s">
        <v>1073</v>
      </c>
      <c r="G285" s="76" t="s">
        <v>1074</v>
      </c>
      <c r="H285" s="37">
        <v>3026.6</v>
      </c>
      <c r="I285" s="37">
        <v>1995.1</v>
      </c>
      <c r="J285" s="37">
        <v>1305</v>
      </c>
      <c r="K285" s="36">
        <v>108</v>
      </c>
      <c r="L285" s="76" t="s">
        <v>281</v>
      </c>
      <c r="M285" s="37">
        <v>5808361.22</v>
      </c>
      <c r="N285" s="109"/>
      <c r="O285" s="109"/>
      <c r="P285" s="109"/>
      <c r="Q285" s="37">
        <v>5808361.22</v>
      </c>
      <c r="R285" s="37">
        <f t="shared" si="23"/>
        <v>2911.313327652749</v>
      </c>
      <c r="S285" s="29">
        <v>14736.15</v>
      </c>
      <c r="T285" s="24" t="s">
        <v>1359</v>
      </c>
      <c r="U285" s="118">
        <v>6.3</v>
      </c>
      <c r="V285" s="296">
        <v>2018</v>
      </c>
    </row>
    <row r="286" spans="1:22" ht="135">
      <c r="A286" s="70">
        <v>212</v>
      </c>
      <c r="B286" s="99" t="s">
        <v>1532</v>
      </c>
      <c r="C286" s="76" t="s">
        <v>1603</v>
      </c>
      <c r="D286" s="35">
        <v>2015</v>
      </c>
      <c r="E286" s="29" t="s">
        <v>374</v>
      </c>
      <c r="F286" s="76" t="s">
        <v>1073</v>
      </c>
      <c r="G286" s="76" t="s">
        <v>1074</v>
      </c>
      <c r="H286" s="37">
        <v>3428.64</v>
      </c>
      <c r="I286" s="37">
        <v>2923.84</v>
      </c>
      <c r="J286" s="37">
        <v>1989.51</v>
      </c>
      <c r="K286" s="36">
        <v>290</v>
      </c>
      <c r="L286" s="76" t="s">
        <v>513</v>
      </c>
      <c r="M286" s="37">
        <v>6150845.92</v>
      </c>
      <c r="N286" s="109"/>
      <c r="O286" s="109"/>
      <c r="P286" s="109"/>
      <c r="Q286" s="37">
        <v>6150845.92</v>
      </c>
      <c r="R286" s="37">
        <f t="shared" si="23"/>
        <v>2103.6875889241546</v>
      </c>
      <c r="S286" s="29">
        <v>14736.15</v>
      </c>
      <c r="T286" s="24" t="s">
        <v>1359</v>
      </c>
      <c r="U286" s="118">
        <v>6.3</v>
      </c>
      <c r="V286" s="296">
        <v>2018</v>
      </c>
    </row>
    <row r="287" spans="1:22" ht="45">
      <c r="A287" s="70">
        <v>213</v>
      </c>
      <c r="B287" s="99" t="s">
        <v>1533</v>
      </c>
      <c r="C287" s="76" t="s">
        <v>415</v>
      </c>
      <c r="D287" s="35">
        <v>2009</v>
      </c>
      <c r="E287" s="29" t="s">
        <v>374</v>
      </c>
      <c r="F287" s="76" t="s">
        <v>1073</v>
      </c>
      <c r="G287" s="76" t="s">
        <v>1072</v>
      </c>
      <c r="H287" s="37">
        <v>3309.3</v>
      </c>
      <c r="I287" s="37">
        <v>2928.8</v>
      </c>
      <c r="J287" s="37">
        <v>1803.4</v>
      </c>
      <c r="K287" s="36">
        <v>109</v>
      </c>
      <c r="L287" s="76" t="s">
        <v>384</v>
      </c>
      <c r="M287" s="37">
        <v>1187898.79</v>
      </c>
      <c r="N287" s="109"/>
      <c r="O287" s="109"/>
      <c r="P287" s="109"/>
      <c r="Q287" s="37">
        <v>1187898.79</v>
      </c>
      <c r="R287" s="37">
        <f t="shared" si="23"/>
        <v>405.5923210871347</v>
      </c>
      <c r="S287" s="29">
        <v>14736.15</v>
      </c>
      <c r="T287" s="24" t="s">
        <v>1359</v>
      </c>
      <c r="U287" s="118">
        <v>6.3</v>
      </c>
      <c r="V287" s="296">
        <v>2018</v>
      </c>
    </row>
    <row r="288" spans="1:22" ht="120">
      <c r="A288" s="70">
        <v>214</v>
      </c>
      <c r="B288" s="99" t="s">
        <v>1534</v>
      </c>
      <c r="C288" s="76">
        <v>1963</v>
      </c>
      <c r="D288" s="35"/>
      <c r="E288" s="29" t="s">
        <v>374</v>
      </c>
      <c r="F288" s="76" t="s">
        <v>1073</v>
      </c>
      <c r="G288" s="76" t="s">
        <v>1075</v>
      </c>
      <c r="H288" s="37">
        <v>6937.39</v>
      </c>
      <c r="I288" s="37">
        <v>6530.59</v>
      </c>
      <c r="J288" s="37">
        <v>5888.31</v>
      </c>
      <c r="K288" s="36">
        <v>259</v>
      </c>
      <c r="L288" s="76" t="s">
        <v>82</v>
      </c>
      <c r="M288" s="37">
        <v>11522063.35</v>
      </c>
      <c r="N288" s="109"/>
      <c r="O288" s="109"/>
      <c r="P288" s="109"/>
      <c r="Q288" s="37">
        <v>11522063.35</v>
      </c>
      <c r="R288" s="37">
        <f t="shared" si="23"/>
        <v>1764.3219601904268</v>
      </c>
      <c r="S288" s="29">
        <v>14736.15</v>
      </c>
      <c r="T288" s="24" t="s">
        <v>1359</v>
      </c>
      <c r="U288" s="118">
        <v>6.3</v>
      </c>
      <c r="V288" s="296">
        <v>2018</v>
      </c>
    </row>
    <row r="289" spans="1:22" ht="120">
      <c r="A289" s="70">
        <v>215</v>
      </c>
      <c r="B289" s="99" t="s">
        <v>546</v>
      </c>
      <c r="C289" s="35" t="s">
        <v>417</v>
      </c>
      <c r="D289" s="35">
        <v>2015</v>
      </c>
      <c r="E289" s="76" t="s">
        <v>494</v>
      </c>
      <c r="F289" s="29" t="s">
        <v>1073</v>
      </c>
      <c r="G289" s="29" t="s">
        <v>1073</v>
      </c>
      <c r="H289" s="37">
        <v>4215.7</v>
      </c>
      <c r="I289" s="37">
        <v>3833.1</v>
      </c>
      <c r="J289" s="37">
        <v>3766.4</v>
      </c>
      <c r="K289" s="36">
        <v>172</v>
      </c>
      <c r="L289" s="65" t="s">
        <v>282</v>
      </c>
      <c r="M289" s="37">
        <v>2859455.34</v>
      </c>
      <c r="N289" s="37"/>
      <c r="O289" s="37"/>
      <c r="P289" s="37"/>
      <c r="Q289" s="37">
        <v>2859455.34</v>
      </c>
      <c r="R289" s="37">
        <f t="shared" si="23"/>
        <v>745.9902794083118</v>
      </c>
      <c r="S289" s="29">
        <v>14736.15</v>
      </c>
      <c r="T289" s="24" t="s">
        <v>1359</v>
      </c>
      <c r="U289" s="118">
        <v>6.3</v>
      </c>
      <c r="V289" s="296">
        <v>2018</v>
      </c>
    </row>
    <row r="290" spans="1:22" ht="45">
      <c r="A290" s="70">
        <v>216</v>
      </c>
      <c r="B290" s="99" t="s">
        <v>547</v>
      </c>
      <c r="C290" s="35">
        <v>1971</v>
      </c>
      <c r="D290" s="35"/>
      <c r="E290" s="29" t="s">
        <v>374</v>
      </c>
      <c r="F290" s="76">
        <v>5</v>
      </c>
      <c r="G290" s="76">
        <v>1</v>
      </c>
      <c r="H290" s="37">
        <v>4052.67</v>
      </c>
      <c r="I290" s="37">
        <v>3881.97</v>
      </c>
      <c r="J290" s="37">
        <v>3601.86</v>
      </c>
      <c r="K290" s="36">
        <v>182</v>
      </c>
      <c r="L290" s="29" t="s">
        <v>489</v>
      </c>
      <c r="M290" s="37">
        <v>966903.83</v>
      </c>
      <c r="N290" s="37"/>
      <c r="O290" s="37"/>
      <c r="P290" s="37"/>
      <c r="Q290" s="37">
        <v>966903.83</v>
      </c>
      <c r="R290" s="37">
        <f t="shared" si="23"/>
        <v>249.07555442211043</v>
      </c>
      <c r="S290" s="29">
        <v>14736.15</v>
      </c>
      <c r="T290" s="24" t="s">
        <v>1359</v>
      </c>
      <c r="U290" s="118">
        <v>6.3</v>
      </c>
      <c r="V290" s="296">
        <v>2018</v>
      </c>
    </row>
    <row r="291" spans="1:22" ht="60">
      <c r="A291" s="70">
        <v>217</v>
      </c>
      <c r="B291" s="99" t="s">
        <v>299</v>
      </c>
      <c r="C291" s="35" t="s">
        <v>1604</v>
      </c>
      <c r="D291" s="35" t="s">
        <v>300</v>
      </c>
      <c r="E291" s="29" t="s">
        <v>374</v>
      </c>
      <c r="F291" s="29" t="s">
        <v>1078</v>
      </c>
      <c r="G291" s="29" t="s">
        <v>1071</v>
      </c>
      <c r="H291" s="37">
        <v>659.35</v>
      </c>
      <c r="I291" s="37">
        <v>636.45</v>
      </c>
      <c r="J291" s="37">
        <v>546.27</v>
      </c>
      <c r="K291" s="36">
        <v>47</v>
      </c>
      <c r="L291" s="29" t="s">
        <v>505</v>
      </c>
      <c r="M291" s="37">
        <v>371458.99</v>
      </c>
      <c r="N291" s="37"/>
      <c r="O291" s="37"/>
      <c r="P291" s="37"/>
      <c r="Q291" s="37">
        <v>371458.99</v>
      </c>
      <c r="R291" s="37">
        <f t="shared" si="23"/>
        <v>583.6420614345195</v>
      </c>
      <c r="S291" s="29">
        <v>14736.15</v>
      </c>
      <c r="T291" s="24" t="s">
        <v>1359</v>
      </c>
      <c r="U291" s="118">
        <v>6.3</v>
      </c>
      <c r="V291" s="296">
        <v>2018</v>
      </c>
    </row>
    <row r="292" spans="1:22" ht="60">
      <c r="A292" s="70">
        <v>218</v>
      </c>
      <c r="B292" s="99" t="s">
        <v>301</v>
      </c>
      <c r="C292" s="35" t="s">
        <v>432</v>
      </c>
      <c r="D292" s="35"/>
      <c r="E292" s="29" t="s">
        <v>374</v>
      </c>
      <c r="F292" s="29" t="s">
        <v>1078</v>
      </c>
      <c r="G292" s="29" t="s">
        <v>1078</v>
      </c>
      <c r="H292" s="37">
        <v>590.9</v>
      </c>
      <c r="I292" s="37">
        <v>544.1</v>
      </c>
      <c r="J292" s="37">
        <v>330.8</v>
      </c>
      <c r="K292" s="36">
        <v>40</v>
      </c>
      <c r="L292" s="29" t="s">
        <v>1245</v>
      </c>
      <c r="M292" s="37">
        <v>1601956.44</v>
      </c>
      <c r="N292" s="37"/>
      <c r="O292" s="37"/>
      <c r="P292" s="37"/>
      <c r="Q292" s="37">
        <v>1601956.44</v>
      </c>
      <c r="R292" s="37">
        <f t="shared" si="23"/>
        <v>2944.231648594008</v>
      </c>
      <c r="S292" s="29">
        <v>14736.15</v>
      </c>
      <c r="T292" s="24" t="s">
        <v>1359</v>
      </c>
      <c r="U292" s="118">
        <v>6.3</v>
      </c>
      <c r="V292" s="296">
        <v>2018</v>
      </c>
    </row>
    <row r="293" spans="1:22" ht="60">
      <c r="A293" s="70">
        <v>219</v>
      </c>
      <c r="B293" s="99" t="s">
        <v>302</v>
      </c>
      <c r="C293" s="76" t="s">
        <v>1601</v>
      </c>
      <c r="D293" s="35"/>
      <c r="E293" s="29" t="s">
        <v>374</v>
      </c>
      <c r="F293" s="76" t="s">
        <v>1078</v>
      </c>
      <c r="G293" s="76" t="s">
        <v>1071</v>
      </c>
      <c r="H293" s="37">
        <v>286.4</v>
      </c>
      <c r="I293" s="37">
        <v>264.4</v>
      </c>
      <c r="J293" s="37">
        <v>126</v>
      </c>
      <c r="K293" s="36">
        <v>20</v>
      </c>
      <c r="L293" s="76" t="s">
        <v>1246</v>
      </c>
      <c r="M293" s="37">
        <v>869033.99</v>
      </c>
      <c r="N293" s="109"/>
      <c r="O293" s="109"/>
      <c r="P293" s="109"/>
      <c r="Q293" s="37">
        <v>869033.99</v>
      </c>
      <c r="R293" s="37">
        <f t="shared" si="23"/>
        <v>3286.815393343419</v>
      </c>
      <c r="S293" s="29">
        <v>14736.15</v>
      </c>
      <c r="T293" s="24" t="s">
        <v>1359</v>
      </c>
      <c r="U293" s="118">
        <v>6.3</v>
      </c>
      <c r="V293" s="296">
        <v>2018</v>
      </c>
    </row>
    <row r="294" spans="1:22" ht="45">
      <c r="A294" s="70">
        <v>220</v>
      </c>
      <c r="B294" s="99" t="s">
        <v>303</v>
      </c>
      <c r="C294" s="76" t="s">
        <v>304</v>
      </c>
      <c r="D294" s="35" t="s">
        <v>300</v>
      </c>
      <c r="E294" s="29" t="s">
        <v>374</v>
      </c>
      <c r="F294" s="76" t="s">
        <v>1078</v>
      </c>
      <c r="G294" s="76" t="s">
        <v>1071</v>
      </c>
      <c r="H294" s="37">
        <v>458</v>
      </c>
      <c r="I294" s="37">
        <v>419</v>
      </c>
      <c r="J294" s="37">
        <v>144.59</v>
      </c>
      <c r="K294" s="36">
        <v>32</v>
      </c>
      <c r="L294" s="76" t="s">
        <v>384</v>
      </c>
      <c r="M294" s="37">
        <v>156230.23</v>
      </c>
      <c r="N294" s="109"/>
      <c r="O294" s="109"/>
      <c r="P294" s="109"/>
      <c r="Q294" s="37">
        <v>156230.23</v>
      </c>
      <c r="R294" s="37">
        <f t="shared" si="23"/>
        <v>372.8645107398568</v>
      </c>
      <c r="S294" s="29">
        <v>14736.15</v>
      </c>
      <c r="T294" s="24" t="s">
        <v>1359</v>
      </c>
      <c r="U294" s="118">
        <v>6.3</v>
      </c>
      <c r="V294" s="296">
        <v>2018</v>
      </c>
    </row>
    <row r="295" spans="1:22" ht="45">
      <c r="A295" s="70">
        <v>221</v>
      </c>
      <c r="B295" s="99" t="s">
        <v>305</v>
      </c>
      <c r="C295" s="76">
        <v>1960</v>
      </c>
      <c r="D295" s="35">
        <v>2009</v>
      </c>
      <c r="E295" s="29" t="s">
        <v>374</v>
      </c>
      <c r="F295" s="76">
        <v>2</v>
      </c>
      <c r="G295" s="76">
        <v>1</v>
      </c>
      <c r="H295" s="37">
        <v>294.4</v>
      </c>
      <c r="I295" s="37">
        <v>271.2</v>
      </c>
      <c r="J295" s="37">
        <v>195.4</v>
      </c>
      <c r="K295" s="36">
        <v>24</v>
      </c>
      <c r="L295" s="76" t="s">
        <v>384</v>
      </c>
      <c r="M295" s="37">
        <v>138696.04</v>
      </c>
      <c r="N295" s="109"/>
      <c r="O295" s="109"/>
      <c r="P295" s="109"/>
      <c r="Q295" s="37">
        <v>138696.04</v>
      </c>
      <c r="R295" s="37">
        <f t="shared" si="23"/>
        <v>511.41607669616525</v>
      </c>
      <c r="S295" s="29">
        <v>14736.15</v>
      </c>
      <c r="T295" s="24" t="s">
        <v>1359</v>
      </c>
      <c r="U295" s="118">
        <v>6.3</v>
      </c>
      <c r="V295" s="296">
        <v>2018</v>
      </c>
    </row>
    <row r="296" spans="1:22" ht="45">
      <c r="A296" s="70">
        <v>222</v>
      </c>
      <c r="B296" s="99" t="s">
        <v>306</v>
      </c>
      <c r="C296" s="76" t="s">
        <v>1601</v>
      </c>
      <c r="D296" s="35"/>
      <c r="E296" s="29" t="s">
        <v>374</v>
      </c>
      <c r="F296" s="76" t="s">
        <v>1078</v>
      </c>
      <c r="G296" s="76" t="s">
        <v>1071</v>
      </c>
      <c r="H296" s="37">
        <v>292.9</v>
      </c>
      <c r="I296" s="37">
        <v>269.3</v>
      </c>
      <c r="J296" s="37">
        <v>165</v>
      </c>
      <c r="K296" s="36">
        <v>15</v>
      </c>
      <c r="L296" s="76" t="s">
        <v>497</v>
      </c>
      <c r="M296" s="37">
        <v>627729.08</v>
      </c>
      <c r="N296" s="109"/>
      <c r="O296" s="109"/>
      <c r="P296" s="109"/>
      <c r="Q296" s="37">
        <v>627729.08</v>
      </c>
      <c r="R296" s="37">
        <f t="shared" si="23"/>
        <v>2330.965763089491</v>
      </c>
      <c r="S296" s="29">
        <v>14736.15</v>
      </c>
      <c r="T296" s="24" t="s">
        <v>1359</v>
      </c>
      <c r="U296" s="118">
        <v>6.3</v>
      </c>
      <c r="V296" s="296">
        <v>2018</v>
      </c>
    </row>
    <row r="297" spans="1:22" ht="45">
      <c r="A297" s="70">
        <v>223</v>
      </c>
      <c r="B297" s="99" t="s">
        <v>307</v>
      </c>
      <c r="C297" s="76">
        <v>1967</v>
      </c>
      <c r="D297" s="35"/>
      <c r="E297" s="29" t="s">
        <v>374</v>
      </c>
      <c r="F297" s="76">
        <v>2</v>
      </c>
      <c r="G297" s="76">
        <v>2</v>
      </c>
      <c r="H297" s="37">
        <v>761.3</v>
      </c>
      <c r="I297" s="37">
        <v>717.3</v>
      </c>
      <c r="J297" s="37">
        <v>567.1</v>
      </c>
      <c r="K297" s="36">
        <v>43</v>
      </c>
      <c r="L297" s="76" t="s">
        <v>720</v>
      </c>
      <c r="M297" s="37">
        <v>1750504.36</v>
      </c>
      <c r="N297" s="109"/>
      <c r="O297" s="109"/>
      <c r="P297" s="109"/>
      <c r="Q297" s="37">
        <v>1750504.36</v>
      </c>
      <c r="R297" s="37">
        <f t="shared" si="23"/>
        <v>2440.407583995539</v>
      </c>
      <c r="S297" s="29">
        <v>14736.15</v>
      </c>
      <c r="T297" s="24" t="s">
        <v>1359</v>
      </c>
      <c r="U297" s="118">
        <v>6.3</v>
      </c>
      <c r="V297" s="296">
        <v>2018</v>
      </c>
    </row>
    <row r="298" spans="1:22" ht="105">
      <c r="A298" s="70">
        <v>224</v>
      </c>
      <c r="B298" s="99" t="s">
        <v>231</v>
      </c>
      <c r="C298" s="76">
        <v>1936</v>
      </c>
      <c r="D298" s="35">
        <v>2015</v>
      </c>
      <c r="E298" s="29" t="s">
        <v>374</v>
      </c>
      <c r="F298" s="76" t="s">
        <v>308</v>
      </c>
      <c r="G298" s="76">
        <v>4</v>
      </c>
      <c r="H298" s="37">
        <v>3143.74</v>
      </c>
      <c r="I298" s="37">
        <v>2586.94</v>
      </c>
      <c r="J298" s="37">
        <v>2494.64</v>
      </c>
      <c r="K298" s="36">
        <v>67</v>
      </c>
      <c r="L298" s="76" t="s">
        <v>1146</v>
      </c>
      <c r="M298" s="37">
        <v>2839847.57</v>
      </c>
      <c r="N298" s="109"/>
      <c r="O298" s="109"/>
      <c r="P298" s="109"/>
      <c r="Q298" s="37">
        <v>2839847.57</v>
      </c>
      <c r="R298" s="37">
        <f t="shared" si="23"/>
        <v>1097.7632144541426</v>
      </c>
      <c r="S298" s="29">
        <v>14736.15</v>
      </c>
      <c r="T298" s="24" t="s">
        <v>1359</v>
      </c>
      <c r="U298" s="118">
        <v>6.3</v>
      </c>
      <c r="V298" s="296">
        <v>2018</v>
      </c>
    </row>
    <row r="299" spans="1:22" ht="75">
      <c r="A299" s="70">
        <v>225</v>
      </c>
      <c r="B299" s="99" t="s">
        <v>1215</v>
      </c>
      <c r="C299" s="76">
        <v>1964</v>
      </c>
      <c r="D299" s="35"/>
      <c r="E299" s="29" t="s">
        <v>374</v>
      </c>
      <c r="F299" s="76">
        <v>5</v>
      </c>
      <c r="G299" s="76">
        <v>4</v>
      </c>
      <c r="H299" s="37">
        <v>4060.4</v>
      </c>
      <c r="I299" s="37">
        <v>3690.4</v>
      </c>
      <c r="J299" s="37">
        <v>3468.3</v>
      </c>
      <c r="K299" s="36">
        <v>125</v>
      </c>
      <c r="L299" s="66" t="s">
        <v>1040</v>
      </c>
      <c r="M299" s="37">
        <v>4018188.5</v>
      </c>
      <c r="N299" s="109"/>
      <c r="O299" s="109"/>
      <c r="P299" s="109"/>
      <c r="Q299" s="37">
        <v>4018188.5</v>
      </c>
      <c r="R299" s="37">
        <f t="shared" si="23"/>
        <v>1088.8219434207674</v>
      </c>
      <c r="S299" s="29">
        <v>14736.15</v>
      </c>
      <c r="T299" s="24" t="s">
        <v>1359</v>
      </c>
      <c r="U299" s="118">
        <v>6.3</v>
      </c>
      <c r="V299" s="296">
        <v>2018</v>
      </c>
    </row>
    <row r="300" spans="1:22" ht="75">
      <c r="A300" s="70">
        <v>226</v>
      </c>
      <c r="B300" s="99" t="s">
        <v>1216</v>
      </c>
      <c r="C300" s="76">
        <v>1960</v>
      </c>
      <c r="D300" s="35">
        <v>2015</v>
      </c>
      <c r="E300" s="29" t="s">
        <v>374</v>
      </c>
      <c r="F300" s="76">
        <v>4</v>
      </c>
      <c r="G300" s="76">
        <v>2</v>
      </c>
      <c r="H300" s="37">
        <v>1399.4</v>
      </c>
      <c r="I300" s="37">
        <v>1254.7</v>
      </c>
      <c r="J300" s="37">
        <v>1049.5</v>
      </c>
      <c r="K300" s="36">
        <v>29</v>
      </c>
      <c r="L300" s="76" t="s">
        <v>506</v>
      </c>
      <c r="M300" s="37">
        <v>1016818.28</v>
      </c>
      <c r="N300" s="109"/>
      <c r="O300" s="109"/>
      <c r="P300" s="109"/>
      <c r="Q300" s="37">
        <v>1016818.28</v>
      </c>
      <c r="R300" s="37">
        <f t="shared" si="23"/>
        <v>810.4074918307165</v>
      </c>
      <c r="S300" s="29">
        <v>14736.15</v>
      </c>
      <c r="T300" s="24" t="s">
        <v>1359</v>
      </c>
      <c r="U300" s="118">
        <v>6.3</v>
      </c>
      <c r="V300" s="296">
        <v>2018</v>
      </c>
    </row>
    <row r="301" spans="1:22" ht="75">
      <c r="A301" s="70">
        <v>227</v>
      </c>
      <c r="B301" s="99" t="s">
        <v>1387</v>
      </c>
      <c r="C301" s="76">
        <v>1969</v>
      </c>
      <c r="D301" s="35">
        <v>2016</v>
      </c>
      <c r="E301" s="29" t="s">
        <v>374</v>
      </c>
      <c r="F301" s="76">
        <v>5</v>
      </c>
      <c r="G301" s="76">
        <v>6</v>
      </c>
      <c r="H301" s="37">
        <v>6374.4</v>
      </c>
      <c r="I301" s="37">
        <v>2575.3</v>
      </c>
      <c r="J301" s="37">
        <v>2371.2</v>
      </c>
      <c r="K301" s="36">
        <v>223</v>
      </c>
      <c r="L301" s="76" t="s">
        <v>283</v>
      </c>
      <c r="M301" s="37">
        <v>7241824.22</v>
      </c>
      <c r="N301" s="109"/>
      <c r="O301" s="109"/>
      <c r="P301" s="109"/>
      <c r="Q301" s="37">
        <v>7241824.22</v>
      </c>
      <c r="R301" s="37">
        <f t="shared" si="23"/>
        <v>2812.031305090669</v>
      </c>
      <c r="S301" s="29">
        <v>14736.15</v>
      </c>
      <c r="T301" s="24" t="s">
        <v>1359</v>
      </c>
      <c r="U301" s="118">
        <v>6.3</v>
      </c>
      <c r="V301" s="296">
        <v>2018</v>
      </c>
    </row>
    <row r="302" spans="1:22" ht="45">
      <c r="A302" s="70">
        <v>228</v>
      </c>
      <c r="B302" s="99" t="s">
        <v>1388</v>
      </c>
      <c r="C302" s="35">
        <v>1973</v>
      </c>
      <c r="D302" s="35"/>
      <c r="E302" s="29" t="s">
        <v>374</v>
      </c>
      <c r="F302" s="76">
        <v>5</v>
      </c>
      <c r="G302" s="76">
        <v>6</v>
      </c>
      <c r="H302" s="37">
        <v>4620.2</v>
      </c>
      <c r="I302" s="37">
        <v>2390.84</v>
      </c>
      <c r="J302" s="37">
        <v>2105.2</v>
      </c>
      <c r="K302" s="36">
        <v>201</v>
      </c>
      <c r="L302" s="29" t="s">
        <v>497</v>
      </c>
      <c r="M302" s="37">
        <v>2097123.04</v>
      </c>
      <c r="N302" s="37"/>
      <c r="O302" s="37"/>
      <c r="P302" s="37"/>
      <c r="Q302" s="37">
        <v>2097123.04</v>
      </c>
      <c r="R302" s="37">
        <f t="shared" si="23"/>
        <v>877.1490522159576</v>
      </c>
      <c r="S302" s="29">
        <v>14736.15</v>
      </c>
      <c r="T302" s="24" t="s">
        <v>1359</v>
      </c>
      <c r="U302" s="118">
        <v>6.3</v>
      </c>
      <c r="V302" s="296">
        <v>2018</v>
      </c>
    </row>
    <row r="303" spans="1:22" ht="45">
      <c r="A303" s="70">
        <v>229</v>
      </c>
      <c r="B303" s="99" t="s">
        <v>1389</v>
      </c>
      <c r="C303" s="76" t="s">
        <v>406</v>
      </c>
      <c r="D303" s="35"/>
      <c r="E303" s="29" t="s">
        <v>374</v>
      </c>
      <c r="F303" s="76" t="s">
        <v>1073</v>
      </c>
      <c r="G303" s="76" t="s">
        <v>1076</v>
      </c>
      <c r="H303" s="37">
        <v>5132.7</v>
      </c>
      <c r="I303" s="37">
        <v>4693.9</v>
      </c>
      <c r="J303" s="37">
        <v>4159.3</v>
      </c>
      <c r="K303" s="36">
        <v>272</v>
      </c>
      <c r="L303" s="76" t="s">
        <v>500</v>
      </c>
      <c r="M303" s="37">
        <v>8881605.06</v>
      </c>
      <c r="N303" s="109"/>
      <c r="O303" s="109"/>
      <c r="P303" s="109"/>
      <c r="Q303" s="37">
        <v>8881605.06</v>
      </c>
      <c r="R303" s="37">
        <f t="shared" si="23"/>
        <v>1892.1589850657238</v>
      </c>
      <c r="S303" s="29">
        <v>14736.15</v>
      </c>
      <c r="T303" s="24" t="s">
        <v>1359</v>
      </c>
      <c r="U303" s="118">
        <v>6.3</v>
      </c>
      <c r="V303" s="296">
        <v>2018</v>
      </c>
    </row>
    <row r="304" spans="1:22" ht="165">
      <c r="A304" s="70">
        <v>230</v>
      </c>
      <c r="B304" s="99" t="s">
        <v>309</v>
      </c>
      <c r="C304" s="35">
        <v>1973</v>
      </c>
      <c r="D304" s="35"/>
      <c r="E304" s="76" t="s">
        <v>494</v>
      </c>
      <c r="F304" s="76">
        <v>5</v>
      </c>
      <c r="G304" s="76">
        <v>5</v>
      </c>
      <c r="H304" s="37">
        <v>4225.1</v>
      </c>
      <c r="I304" s="37">
        <v>3790.1</v>
      </c>
      <c r="J304" s="37">
        <v>3526.4</v>
      </c>
      <c r="K304" s="36">
        <v>172</v>
      </c>
      <c r="L304" s="29" t="s">
        <v>101</v>
      </c>
      <c r="M304" s="37">
        <v>5133160.3</v>
      </c>
      <c r="N304" s="37"/>
      <c r="O304" s="37"/>
      <c r="P304" s="37"/>
      <c r="Q304" s="37">
        <v>5133160.3</v>
      </c>
      <c r="R304" s="37">
        <f t="shared" si="23"/>
        <v>1354.3601224242104</v>
      </c>
      <c r="S304" s="29">
        <v>14736.15</v>
      </c>
      <c r="T304" s="24" t="s">
        <v>1359</v>
      </c>
      <c r="U304" s="118">
        <v>6.3</v>
      </c>
      <c r="V304" s="296">
        <v>2018</v>
      </c>
    </row>
    <row r="305" spans="1:22" ht="120">
      <c r="A305" s="70">
        <v>231</v>
      </c>
      <c r="B305" s="99" t="s">
        <v>1391</v>
      </c>
      <c r="C305" s="76">
        <v>1960</v>
      </c>
      <c r="D305" s="35"/>
      <c r="E305" s="29" t="s">
        <v>374</v>
      </c>
      <c r="F305" s="76">
        <v>4</v>
      </c>
      <c r="G305" s="76">
        <v>2</v>
      </c>
      <c r="H305" s="37">
        <v>1380.1000000000001</v>
      </c>
      <c r="I305" s="37">
        <v>1264.9</v>
      </c>
      <c r="J305" s="37">
        <v>1264.9</v>
      </c>
      <c r="K305" s="36">
        <v>59</v>
      </c>
      <c r="L305" s="76" t="s">
        <v>82</v>
      </c>
      <c r="M305" s="37">
        <v>3077631.96</v>
      </c>
      <c r="N305" s="109"/>
      <c r="O305" s="109"/>
      <c r="P305" s="109"/>
      <c r="Q305" s="37">
        <v>3077631.96</v>
      </c>
      <c r="R305" s="37">
        <f t="shared" si="23"/>
        <v>2433.1029804727646</v>
      </c>
      <c r="S305" s="29">
        <v>14736.15</v>
      </c>
      <c r="T305" s="24" t="s">
        <v>1359</v>
      </c>
      <c r="U305" s="118">
        <v>6.3</v>
      </c>
      <c r="V305" s="296">
        <v>2018</v>
      </c>
    </row>
    <row r="306" spans="1:22" ht="45">
      <c r="A306" s="70">
        <v>232</v>
      </c>
      <c r="B306" s="99" t="s">
        <v>232</v>
      </c>
      <c r="C306" s="35">
        <v>1960</v>
      </c>
      <c r="D306" s="35">
        <v>2008</v>
      </c>
      <c r="E306" s="29" t="s">
        <v>374</v>
      </c>
      <c r="F306" s="29" t="s">
        <v>1072</v>
      </c>
      <c r="G306" s="29" t="s">
        <v>1072</v>
      </c>
      <c r="H306" s="37">
        <v>2652.1</v>
      </c>
      <c r="I306" s="37">
        <v>2350.5</v>
      </c>
      <c r="J306" s="37">
        <v>2275.1</v>
      </c>
      <c r="K306" s="36">
        <v>67</v>
      </c>
      <c r="L306" s="29" t="s">
        <v>498</v>
      </c>
      <c r="M306" s="37">
        <v>704194.16</v>
      </c>
      <c r="N306" s="37"/>
      <c r="O306" s="37"/>
      <c r="P306" s="37"/>
      <c r="Q306" s="37">
        <v>704194.16</v>
      </c>
      <c r="R306" s="37">
        <f t="shared" si="23"/>
        <v>299.5933460965752</v>
      </c>
      <c r="S306" s="29">
        <v>14736.15</v>
      </c>
      <c r="T306" s="24" t="s">
        <v>1359</v>
      </c>
      <c r="U306" s="118">
        <v>6.3</v>
      </c>
      <c r="V306" s="296">
        <v>2018</v>
      </c>
    </row>
    <row r="307" spans="1:22" ht="165">
      <c r="A307" s="70">
        <v>233</v>
      </c>
      <c r="B307" s="99" t="s">
        <v>233</v>
      </c>
      <c r="C307" s="67">
        <v>1954</v>
      </c>
      <c r="D307" s="35">
        <v>2008</v>
      </c>
      <c r="E307" s="29" t="s">
        <v>374</v>
      </c>
      <c r="F307" s="29" t="s">
        <v>1072</v>
      </c>
      <c r="G307" s="29" t="s">
        <v>1074</v>
      </c>
      <c r="H307" s="37">
        <v>3915.4</v>
      </c>
      <c r="I307" s="37">
        <v>3425.93</v>
      </c>
      <c r="J307" s="37">
        <v>3138.41</v>
      </c>
      <c r="K307" s="36">
        <v>94</v>
      </c>
      <c r="L307" s="29" t="s">
        <v>548</v>
      </c>
      <c r="M307" s="37">
        <v>4600133.51</v>
      </c>
      <c r="N307" s="37"/>
      <c r="O307" s="37"/>
      <c r="P307" s="37"/>
      <c r="Q307" s="37">
        <v>4600133.51</v>
      </c>
      <c r="R307" s="37">
        <f t="shared" si="23"/>
        <v>1342.7400764172064</v>
      </c>
      <c r="S307" s="29">
        <v>14736.15</v>
      </c>
      <c r="T307" s="24" t="s">
        <v>1359</v>
      </c>
      <c r="U307" s="118">
        <v>6.3</v>
      </c>
      <c r="V307" s="296">
        <v>2018</v>
      </c>
    </row>
    <row r="308" spans="1:22" ht="165">
      <c r="A308" s="70">
        <v>234</v>
      </c>
      <c r="B308" s="99" t="s">
        <v>234</v>
      </c>
      <c r="C308" s="35" t="s">
        <v>432</v>
      </c>
      <c r="D308" s="35">
        <v>2009</v>
      </c>
      <c r="E308" s="29" t="s">
        <v>374</v>
      </c>
      <c r="F308" s="29" t="s">
        <v>1072</v>
      </c>
      <c r="G308" s="29" t="s">
        <v>1071</v>
      </c>
      <c r="H308" s="37">
        <v>1516.5</v>
      </c>
      <c r="I308" s="37">
        <v>1407.5</v>
      </c>
      <c r="J308" s="37">
        <v>1407.5</v>
      </c>
      <c r="K308" s="36">
        <v>47</v>
      </c>
      <c r="L308" s="29" t="s">
        <v>96</v>
      </c>
      <c r="M308" s="37">
        <v>2411842.97</v>
      </c>
      <c r="N308" s="37"/>
      <c r="O308" s="37"/>
      <c r="P308" s="37"/>
      <c r="Q308" s="37">
        <v>2411842.97</v>
      </c>
      <c r="R308" s="37">
        <f t="shared" si="23"/>
        <v>1713.565165186501</v>
      </c>
      <c r="S308" s="29">
        <v>14736.15</v>
      </c>
      <c r="T308" s="24" t="s">
        <v>1359</v>
      </c>
      <c r="U308" s="118">
        <v>6.3</v>
      </c>
      <c r="V308" s="296">
        <v>2018</v>
      </c>
    </row>
    <row r="309" spans="1:22" ht="105">
      <c r="A309" s="70">
        <v>235</v>
      </c>
      <c r="B309" s="99" t="s">
        <v>235</v>
      </c>
      <c r="C309" s="35">
        <v>1940</v>
      </c>
      <c r="D309" s="35">
        <v>2015</v>
      </c>
      <c r="E309" s="29" t="s">
        <v>374</v>
      </c>
      <c r="F309" s="29" t="s">
        <v>1074</v>
      </c>
      <c r="G309" s="29" t="s">
        <v>1078</v>
      </c>
      <c r="H309" s="37">
        <v>801.42</v>
      </c>
      <c r="I309" s="37">
        <v>661.21</v>
      </c>
      <c r="J309" s="37">
        <v>661.21</v>
      </c>
      <c r="K309" s="36">
        <v>19</v>
      </c>
      <c r="L309" s="29" t="s">
        <v>1146</v>
      </c>
      <c r="M309" s="37">
        <v>960026.85</v>
      </c>
      <c r="N309" s="37"/>
      <c r="O309" s="37"/>
      <c r="P309" s="37"/>
      <c r="Q309" s="37">
        <v>960026.85</v>
      </c>
      <c r="R309" s="37">
        <f t="shared" si="23"/>
        <v>1451.92427519245</v>
      </c>
      <c r="S309" s="29">
        <v>14736.15</v>
      </c>
      <c r="T309" s="24" t="s">
        <v>1359</v>
      </c>
      <c r="U309" s="118">
        <v>6.3</v>
      </c>
      <c r="V309" s="296">
        <v>2018</v>
      </c>
    </row>
    <row r="310" spans="1:22" ht="120">
      <c r="A310" s="70">
        <v>236</v>
      </c>
      <c r="B310" s="99" t="s">
        <v>236</v>
      </c>
      <c r="C310" s="76">
        <v>1955</v>
      </c>
      <c r="D310" s="35">
        <v>2015</v>
      </c>
      <c r="E310" s="29" t="s">
        <v>374</v>
      </c>
      <c r="F310" s="76" t="s">
        <v>1072</v>
      </c>
      <c r="G310" s="76" t="s">
        <v>1074</v>
      </c>
      <c r="H310" s="37">
        <v>3929.1</v>
      </c>
      <c r="I310" s="37">
        <v>3572.4</v>
      </c>
      <c r="J310" s="37">
        <v>3512.1</v>
      </c>
      <c r="K310" s="36">
        <v>81</v>
      </c>
      <c r="L310" s="76" t="s">
        <v>1426</v>
      </c>
      <c r="M310" s="37">
        <v>6487116.09</v>
      </c>
      <c r="N310" s="109"/>
      <c r="O310" s="109"/>
      <c r="P310" s="109"/>
      <c r="Q310" s="37">
        <v>6487116.09</v>
      </c>
      <c r="R310" s="37">
        <f t="shared" si="23"/>
        <v>1815.898580786026</v>
      </c>
      <c r="S310" s="29">
        <v>14736.15</v>
      </c>
      <c r="T310" s="24" t="s">
        <v>1359</v>
      </c>
      <c r="U310" s="118">
        <v>6.3</v>
      </c>
      <c r="V310" s="296">
        <v>2018</v>
      </c>
    </row>
    <row r="311" spans="1:22" ht="75">
      <c r="A311" s="70">
        <v>237</v>
      </c>
      <c r="B311" s="99" t="s">
        <v>1648</v>
      </c>
      <c r="C311" s="76">
        <v>1970</v>
      </c>
      <c r="D311" s="35">
        <v>2012</v>
      </c>
      <c r="E311" s="76" t="s">
        <v>494</v>
      </c>
      <c r="F311" s="76">
        <v>5</v>
      </c>
      <c r="G311" s="76">
        <v>7</v>
      </c>
      <c r="H311" s="37">
        <v>7146.8</v>
      </c>
      <c r="I311" s="37">
        <v>6646.8</v>
      </c>
      <c r="J311" s="37">
        <v>5634.3</v>
      </c>
      <c r="K311" s="36">
        <v>400</v>
      </c>
      <c r="L311" s="76" t="s">
        <v>97</v>
      </c>
      <c r="M311" s="37">
        <v>4302186.2</v>
      </c>
      <c r="N311" s="109"/>
      <c r="O311" s="109"/>
      <c r="P311" s="109"/>
      <c r="Q311" s="37">
        <v>4302186.2</v>
      </c>
      <c r="R311" s="37">
        <f t="shared" si="23"/>
        <v>647.2567551302883</v>
      </c>
      <c r="S311" s="29">
        <v>14736.15</v>
      </c>
      <c r="T311" s="24" t="s">
        <v>1359</v>
      </c>
      <c r="U311" s="118">
        <v>6.3</v>
      </c>
      <c r="V311" s="296">
        <v>2018</v>
      </c>
    </row>
    <row r="312" spans="1:22" ht="105">
      <c r="A312" s="70">
        <v>238</v>
      </c>
      <c r="B312" s="99" t="s">
        <v>1649</v>
      </c>
      <c r="C312" s="76">
        <v>1937</v>
      </c>
      <c r="D312" s="35">
        <v>2015</v>
      </c>
      <c r="E312" s="29" t="s">
        <v>374</v>
      </c>
      <c r="F312" s="76">
        <v>3</v>
      </c>
      <c r="G312" s="76">
        <v>2</v>
      </c>
      <c r="H312" s="37">
        <v>631.8</v>
      </c>
      <c r="I312" s="37">
        <v>362.3</v>
      </c>
      <c r="J312" s="37">
        <v>216.7</v>
      </c>
      <c r="K312" s="36">
        <v>23</v>
      </c>
      <c r="L312" s="76" t="s">
        <v>1146</v>
      </c>
      <c r="M312" s="37">
        <v>848286.84</v>
      </c>
      <c r="N312" s="109"/>
      <c r="O312" s="109"/>
      <c r="P312" s="109"/>
      <c r="Q312" s="37">
        <v>848286.84</v>
      </c>
      <c r="R312" s="37">
        <f t="shared" si="23"/>
        <v>2341.3934308584044</v>
      </c>
      <c r="S312" s="29">
        <v>14736.15</v>
      </c>
      <c r="T312" s="24" t="s">
        <v>1359</v>
      </c>
      <c r="U312" s="118">
        <v>6.3</v>
      </c>
      <c r="V312" s="296">
        <v>2018</v>
      </c>
    </row>
    <row r="313" spans="1:22" ht="105">
      <c r="A313" s="70">
        <v>239</v>
      </c>
      <c r="B313" s="99" t="s">
        <v>549</v>
      </c>
      <c r="C313" s="35">
        <v>1954</v>
      </c>
      <c r="D313" s="35">
        <v>2015</v>
      </c>
      <c r="E313" s="29" t="s">
        <v>374</v>
      </c>
      <c r="F313" s="76">
        <v>3</v>
      </c>
      <c r="G313" s="76">
        <v>3</v>
      </c>
      <c r="H313" s="37">
        <v>1387</v>
      </c>
      <c r="I313" s="37">
        <v>527.7</v>
      </c>
      <c r="J313" s="37">
        <v>385.2</v>
      </c>
      <c r="K313" s="36">
        <v>55</v>
      </c>
      <c r="L313" s="29" t="s">
        <v>1146</v>
      </c>
      <c r="M313" s="37">
        <v>2458219.65</v>
      </c>
      <c r="N313" s="37"/>
      <c r="O313" s="37"/>
      <c r="P313" s="37"/>
      <c r="Q313" s="37">
        <v>2458219.65</v>
      </c>
      <c r="R313" s="37">
        <f t="shared" si="23"/>
        <v>4658.365832859578</v>
      </c>
      <c r="S313" s="29">
        <v>14736.15</v>
      </c>
      <c r="T313" s="24" t="s">
        <v>1359</v>
      </c>
      <c r="U313" s="118">
        <v>6.3</v>
      </c>
      <c r="V313" s="296">
        <v>2018</v>
      </c>
    </row>
    <row r="314" spans="1:22" ht="105">
      <c r="A314" s="70">
        <v>240</v>
      </c>
      <c r="B314" s="99" t="s">
        <v>550</v>
      </c>
      <c r="C314" s="35">
        <v>1996</v>
      </c>
      <c r="D314" s="35">
        <v>2015</v>
      </c>
      <c r="E314" s="29" t="s">
        <v>374</v>
      </c>
      <c r="F314" s="76">
        <v>6</v>
      </c>
      <c r="G314" s="76">
        <v>3</v>
      </c>
      <c r="H314" s="37">
        <v>6654.15</v>
      </c>
      <c r="I314" s="37">
        <v>1890.55</v>
      </c>
      <c r="J314" s="37">
        <v>1551.05</v>
      </c>
      <c r="K314" s="36">
        <v>157</v>
      </c>
      <c r="L314" s="29" t="s">
        <v>390</v>
      </c>
      <c r="M314" s="37">
        <v>1507284.83</v>
      </c>
      <c r="N314" s="37"/>
      <c r="O314" s="37"/>
      <c r="P314" s="37"/>
      <c r="Q314" s="37">
        <v>1507284.83</v>
      </c>
      <c r="R314" s="37">
        <f t="shared" si="23"/>
        <v>797.2731903414351</v>
      </c>
      <c r="S314" s="29">
        <v>14736.15</v>
      </c>
      <c r="T314" s="24" t="s">
        <v>1359</v>
      </c>
      <c r="U314" s="118">
        <v>6.3</v>
      </c>
      <c r="V314" s="296">
        <v>2018</v>
      </c>
    </row>
    <row r="315" spans="1:22" ht="75">
      <c r="A315" s="70">
        <v>241</v>
      </c>
      <c r="B315" s="99" t="s">
        <v>310</v>
      </c>
      <c r="C315" s="76" t="s">
        <v>428</v>
      </c>
      <c r="D315" s="35">
        <v>2015</v>
      </c>
      <c r="E315" s="29" t="s">
        <v>374</v>
      </c>
      <c r="F315" s="76">
        <v>4</v>
      </c>
      <c r="G315" s="76">
        <v>2</v>
      </c>
      <c r="H315" s="37">
        <v>1357.9</v>
      </c>
      <c r="I315" s="37">
        <v>1237.9</v>
      </c>
      <c r="J315" s="37">
        <v>980.5</v>
      </c>
      <c r="K315" s="36">
        <v>84</v>
      </c>
      <c r="L315" s="76" t="s">
        <v>93</v>
      </c>
      <c r="M315" s="37">
        <v>877470.17</v>
      </c>
      <c r="N315" s="109"/>
      <c r="O315" s="109"/>
      <c r="P315" s="109"/>
      <c r="Q315" s="37">
        <v>877470.17</v>
      </c>
      <c r="R315" s="37">
        <f t="shared" si="23"/>
        <v>708.8376847887552</v>
      </c>
      <c r="S315" s="29">
        <v>14736.15</v>
      </c>
      <c r="T315" s="24" t="s">
        <v>1359</v>
      </c>
      <c r="U315" s="118">
        <v>6.3</v>
      </c>
      <c r="V315" s="296">
        <v>2018</v>
      </c>
    </row>
    <row r="316" spans="1:22" ht="60">
      <c r="A316" s="70">
        <v>242</v>
      </c>
      <c r="B316" s="99" t="s">
        <v>311</v>
      </c>
      <c r="C316" s="76" t="s">
        <v>312</v>
      </c>
      <c r="D316" s="35">
        <v>2015</v>
      </c>
      <c r="E316" s="29" t="s">
        <v>374</v>
      </c>
      <c r="F316" s="76">
        <v>4</v>
      </c>
      <c r="G316" s="76">
        <v>3</v>
      </c>
      <c r="H316" s="37">
        <v>2152.84</v>
      </c>
      <c r="I316" s="37">
        <v>1972.84</v>
      </c>
      <c r="J316" s="37">
        <v>1645.6</v>
      </c>
      <c r="K316" s="36">
        <v>128</v>
      </c>
      <c r="L316" s="76" t="s">
        <v>775</v>
      </c>
      <c r="M316" s="37">
        <v>748737.41</v>
      </c>
      <c r="N316" s="109"/>
      <c r="O316" s="109"/>
      <c r="P316" s="109"/>
      <c r="Q316" s="37">
        <v>748737.41</v>
      </c>
      <c r="R316" s="37">
        <f t="shared" si="23"/>
        <v>379.5226222096065</v>
      </c>
      <c r="S316" s="29">
        <v>14736.15</v>
      </c>
      <c r="T316" s="24" t="s">
        <v>1359</v>
      </c>
      <c r="U316" s="118">
        <v>6.3</v>
      </c>
      <c r="V316" s="296">
        <v>2018</v>
      </c>
    </row>
    <row r="317" spans="1:22" ht="60">
      <c r="A317" s="70">
        <v>243</v>
      </c>
      <c r="B317" s="99" t="s">
        <v>313</v>
      </c>
      <c r="C317" s="76" t="s">
        <v>314</v>
      </c>
      <c r="D317" s="35"/>
      <c r="E317" s="29" t="s">
        <v>374</v>
      </c>
      <c r="F317" s="76">
        <v>5</v>
      </c>
      <c r="G317" s="76">
        <v>4</v>
      </c>
      <c r="H317" s="37">
        <v>4334.8</v>
      </c>
      <c r="I317" s="37">
        <v>3951.8</v>
      </c>
      <c r="J317" s="37">
        <v>3818.08</v>
      </c>
      <c r="K317" s="36">
        <v>116</v>
      </c>
      <c r="L317" s="76" t="s">
        <v>505</v>
      </c>
      <c r="M317" s="37">
        <v>1268449.17</v>
      </c>
      <c r="N317" s="109"/>
      <c r="O317" s="109"/>
      <c r="P317" s="109"/>
      <c r="Q317" s="37">
        <v>1268449.17</v>
      </c>
      <c r="R317" s="37">
        <f t="shared" si="23"/>
        <v>320.98010273799275</v>
      </c>
      <c r="S317" s="29">
        <v>14736.15</v>
      </c>
      <c r="T317" s="24" t="s">
        <v>1359</v>
      </c>
      <c r="U317" s="118">
        <v>6.3</v>
      </c>
      <c r="V317" s="296">
        <v>2018</v>
      </c>
    </row>
    <row r="318" spans="1:22" ht="45">
      <c r="A318" s="70">
        <v>244</v>
      </c>
      <c r="B318" s="99" t="s">
        <v>1580</v>
      </c>
      <c r="C318" s="76" t="s">
        <v>1581</v>
      </c>
      <c r="D318" s="35"/>
      <c r="E318" s="29" t="s">
        <v>374</v>
      </c>
      <c r="F318" s="76">
        <v>3</v>
      </c>
      <c r="G318" s="76">
        <v>2</v>
      </c>
      <c r="H318" s="37">
        <v>1003.6</v>
      </c>
      <c r="I318" s="37">
        <v>855.6</v>
      </c>
      <c r="J318" s="37">
        <v>801.1</v>
      </c>
      <c r="K318" s="36">
        <v>43</v>
      </c>
      <c r="L318" s="76" t="s">
        <v>497</v>
      </c>
      <c r="M318" s="37">
        <v>1236189.33</v>
      </c>
      <c r="N318" s="109"/>
      <c r="O318" s="109"/>
      <c r="P318" s="109"/>
      <c r="Q318" s="37">
        <v>1236189.33</v>
      </c>
      <c r="R318" s="37">
        <f t="shared" si="23"/>
        <v>1444.8215638148667</v>
      </c>
      <c r="S318" s="29">
        <v>14736.15</v>
      </c>
      <c r="T318" s="24" t="s">
        <v>1359</v>
      </c>
      <c r="U318" s="118">
        <v>6.3</v>
      </c>
      <c r="V318" s="296">
        <v>2018</v>
      </c>
    </row>
    <row r="319" spans="1:22" ht="45">
      <c r="A319" s="70">
        <v>245</v>
      </c>
      <c r="B319" s="99" t="s">
        <v>1582</v>
      </c>
      <c r="C319" s="35" t="s">
        <v>1583</v>
      </c>
      <c r="D319" s="35">
        <v>2009</v>
      </c>
      <c r="E319" s="29" t="s">
        <v>374</v>
      </c>
      <c r="F319" s="35">
        <v>5</v>
      </c>
      <c r="G319" s="35">
        <v>2</v>
      </c>
      <c r="H319" s="37">
        <v>1821.1</v>
      </c>
      <c r="I319" s="37">
        <v>1673.3</v>
      </c>
      <c r="J319" s="37">
        <v>1673.3</v>
      </c>
      <c r="K319" s="36">
        <v>51</v>
      </c>
      <c r="L319" s="29" t="s">
        <v>1584</v>
      </c>
      <c r="M319" s="37">
        <v>616182.65</v>
      </c>
      <c r="N319" s="37"/>
      <c r="O319" s="37"/>
      <c r="P319" s="37"/>
      <c r="Q319" s="37">
        <v>616182.65</v>
      </c>
      <c r="R319" s="37">
        <f aca="true" t="shared" si="24" ref="R319:R396">M319/I319</f>
        <v>368.2439789637244</v>
      </c>
      <c r="S319" s="29">
        <v>14736.15</v>
      </c>
      <c r="T319" s="24" t="s">
        <v>1359</v>
      </c>
      <c r="U319" s="118">
        <v>6.3</v>
      </c>
      <c r="V319" s="296">
        <v>2018</v>
      </c>
    </row>
    <row r="320" spans="1:22" ht="90">
      <c r="A320" s="70">
        <v>246</v>
      </c>
      <c r="B320" s="99" t="s">
        <v>180</v>
      </c>
      <c r="C320" s="35">
        <v>1962</v>
      </c>
      <c r="D320" s="35"/>
      <c r="E320" s="29" t="s">
        <v>374</v>
      </c>
      <c r="F320" s="35">
        <v>5</v>
      </c>
      <c r="G320" s="35">
        <v>2</v>
      </c>
      <c r="H320" s="37">
        <v>1894.27</v>
      </c>
      <c r="I320" s="37">
        <v>1712.87</v>
      </c>
      <c r="J320" s="37">
        <v>1712.87</v>
      </c>
      <c r="K320" s="36">
        <v>70</v>
      </c>
      <c r="L320" s="29" t="s">
        <v>551</v>
      </c>
      <c r="M320" s="37">
        <v>2695339.91</v>
      </c>
      <c r="N320" s="37"/>
      <c r="O320" s="37"/>
      <c r="P320" s="37"/>
      <c r="Q320" s="37">
        <v>2695339.91</v>
      </c>
      <c r="R320" s="37">
        <f t="shared" si="24"/>
        <v>1573.5811299164561</v>
      </c>
      <c r="S320" s="29">
        <v>14736.15</v>
      </c>
      <c r="T320" s="24" t="s">
        <v>1359</v>
      </c>
      <c r="U320" s="118">
        <v>6.3</v>
      </c>
      <c r="V320" s="296">
        <v>2018</v>
      </c>
    </row>
    <row r="321" spans="1:22" ht="135">
      <c r="A321" s="70">
        <v>247</v>
      </c>
      <c r="B321" s="99" t="s">
        <v>1406</v>
      </c>
      <c r="C321" s="35">
        <v>1970</v>
      </c>
      <c r="D321" s="35"/>
      <c r="E321" s="29" t="s">
        <v>374</v>
      </c>
      <c r="F321" s="35">
        <v>5</v>
      </c>
      <c r="G321" s="35">
        <v>8</v>
      </c>
      <c r="H321" s="37">
        <v>6985.3</v>
      </c>
      <c r="I321" s="37">
        <v>5415.3</v>
      </c>
      <c r="J321" s="37">
        <v>5415.3</v>
      </c>
      <c r="K321" s="36">
        <v>278</v>
      </c>
      <c r="L321" s="29" t="s">
        <v>391</v>
      </c>
      <c r="M321" s="37">
        <v>9453109.31</v>
      </c>
      <c r="N321" s="37"/>
      <c r="O321" s="37"/>
      <c r="P321" s="37"/>
      <c r="Q321" s="37">
        <v>9453109.31</v>
      </c>
      <c r="R321" s="37">
        <f t="shared" si="24"/>
        <v>1745.6298469152218</v>
      </c>
      <c r="S321" s="29">
        <v>14736.15</v>
      </c>
      <c r="T321" s="24" t="s">
        <v>1359</v>
      </c>
      <c r="U321" s="118">
        <v>6.3</v>
      </c>
      <c r="V321" s="296">
        <v>2018</v>
      </c>
    </row>
    <row r="322" spans="1:22" ht="105">
      <c r="A322" s="70">
        <v>248</v>
      </c>
      <c r="B322" s="99" t="s">
        <v>1407</v>
      </c>
      <c r="C322" s="35" t="s">
        <v>1408</v>
      </c>
      <c r="D322" s="35" t="s">
        <v>430</v>
      </c>
      <c r="E322" s="29" t="s">
        <v>374</v>
      </c>
      <c r="F322" s="35">
        <v>5</v>
      </c>
      <c r="G322" s="35">
        <v>4</v>
      </c>
      <c r="H322" s="37">
        <v>3454</v>
      </c>
      <c r="I322" s="37">
        <v>3204.4</v>
      </c>
      <c r="J322" s="37">
        <v>2943.1</v>
      </c>
      <c r="K322" s="36">
        <v>141</v>
      </c>
      <c r="L322" s="29" t="s">
        <v>390</v>
      </c>
      <c r="M322" s="37">
        <v>3264435.24</v>
      </c>
      <c r="N322" s="37"/>
      <c r="O322" s="37"/>
      <c r="P322" s="37"/>
      <c r="Q322" s="37">
        <v>3264435.24</v>
      </c>
      <c r="R322" s="37">
        <f t="shared" si="24"/>
        <v>1018.7352515291475</v>
      </c>
      <c r="S322" s="29">
        <v>14736.15</v>
      </c>
      <c r="T322" s="24" t="s">
        <v>1359</v>
      </c>
      <c r="U322" s="118">
        <v>6.3</v>
      </c>
      <c r="V322" s="296">
        <v>2018</v>
      </c>
    </row>
    <row r="323" spans="1:22" ht="165">
      <c r="A323" s="70">
        <v>249</v>
      </c>
      <c r="B323" s="99" t="s">
        <v>1409</v>
      </c>
      <c r="C323" s="76">
        <v>1961</v>
      </c>
      <c r="D323" s="35"/>
      <c r="E323" s="29" t="s">
        <v>374</v>
      </c>
      <c r="F323" s="76">
        <v>4</v>
      </c>
      <c r="G323" s="76">
        <v>2</v>
      </c>
      <c r="H323" s="37">
        <v>1924.2</v>
      </c>
      <c r="I323" s="37">
        <v>1767.2</v>
      </c>
      <c r="J323" s="37">
        <v>1683.7</v>
      </c>
      <c r="K323" s="36">
        <v>65</v>
      </c>
      <c r="L323" s="76" t="s">
        <v>91</v>
      </c>
      <c r="M323" s="37">
        <v>2986607.62</v>
      </c>
      <c r="N323" s="109"/>
      <c r="O323" s="109"/>
      <c r="P323" s="109"/>
      <c r="Q323" s="37">
        <v>2986607.62</v>
      </c>
      <c r="R323" s="37">
        <f t="shared" si="24"/>
        <v>1690.0224196468992</v>
      </c>
      <c r="S323" s="29">
        <v>14736.15</v>
      </c>
      <c r="T323" s="24" t="s">
        <v>1359</v>
      </c>
      <c r="U323" s="118">
        <v>6.3</v>
      </c>
      <c r="V323" s="296">
        <v>2018</v>
      </c>
    </row>
    <row r="324" spans="1:22" ht="75">
      <c r="A324" s="70">
        <v>250</v>
      </c>
      <c r="B324" s="99" t="s">
        <v>552</v>
      </c>
      <c r="C324" s="76">
        <v>1957</v>
      </c>
      <c r="D324" s="35">
        <v>2011</v>
      </c>
      <c r="E324" s="29" t="s">
        <v>374</v>
      </c>
      <c r="F324" s="76">
        <v>4</v>
      </c>
      <c r="G324" s="76">
        <v>3</v>
      </c>
      <c r="H324" s="37">
        <v>3070.6</v>
      </c>
      <c r="I324" s="37">
        <v>2727.1</v>
      </c>
      <c r="J324" s="37">
        <v>2606.4</v>
      </c>
      <c r="K324" s="36">
        <v>64</v>
      </c>
      <c r="L324" s="76" t="s">
        <v>93</v>
      </c>
      <c r="M324" s="37">
        <v>1526628.5499999998</v>
      </c>
      <c r="N324" s="109"/>
      <c r="O324" s="109"/>
      <c r="P324" s="109"/>
      <c r="Q324" s="37">
        <v>1526628.5499999998</v>
      </c>
      <c r="R324" s="37">
        <f t="shared" si="24"/>
        <v>559.7992556195226</v>
      </c>
      <c r="S324" s="29">
        <v>14736.15</v>
      </c>
      <c r="T324" s="24" t="s">
        <v>1359</v>
      </c>
      <c r="U324" s="118">
        <v>6.3</v>
      </c>
      <c r="V324" s="296">
        <v>2018</v>
      </c>
    </row>
    <row r="325" spans="1:22" ht="45">
      <c r="A325" s="70">
        <v>251</v>
      </c>
      <c r="B325" s="99" t="s">
        <v>1394</v>
      </c>
      <c r="C325" s="76">
        <v>1963</v>
      </c>
      <c r="D325" s="35">
        <v>2013</v>
      </c>
      <c r="E325" s="29" t="s">
        <v>374</v>
      </c>
      <c r="F325" s="76">
        <v>5</v>
      </c>
      <c r="G325" s="76">
        <v>2</v>
      </c>
      <c r="H325" s="37">
        <v>2295.2</v>
      </c>
      <c r="I325" s="37">
        <v>2060.2</v>
      </c>
      <c r="J325" s="37">
        <v>2060.2</v>
      </c>
      <c r="K325" s="36">
        <v>64</v>
      </c>
      <c r="L325" s="76" t="s">
        <v>298</v>
      </c>
      <c r="M325" s="37">
        <v>794758.37</v>
      </c>
      <c r="N325" s="109"/>
      <c r="O325" s="109"/>
      <c r="P325" s="109"/>
      <c r="Q325" s="37">
        <v>794758.37</v>
      </c>
      <c r="R325" s="37">
        <f t="shared" si="24"/>
        <v>385.7675808173964</v>
      </c>
      <c r="S325" s="29">
        <v>14736.15</v>
      </c>
      <c r="T325" s="24" t="s">
        <v>1359</v>
      </c>
      <c r="U325" s="118">
        <v>6.3</v>
      </c>
      <c r="V325" s="296">
        <v>2018</v>
      </c>
    </row>
    <row r="326" spans="1:22" ht="210">
      <c r="A326" s="70">
        <v>252</v>
      </c>
      <c r="B326" s="99" t="s">
        <v>1410</v>
      </c>
      <c r="C326" s="76" t="s">
        <v>420</v>
      </c>
      <c r="D326" s="35"/>
      <c r="E326" s="76" t="s">
        <v>494</v>
      </c>
      <c r="F326" s="76" t="s">
        <v>1073</v>
      </c>
      <c r="G326" s="76" t="s">
        <v>1079</v>
      </c>
      <c r="H326" s="37">
        <v>6538.1</v>
      </c>
      <c r="I326" s="37">
        <v>6034.1</v>
      </c>
      <c r="J326" s="37">
        <v>5949.2</v>
      </c>
      <c r="K326" s="36">
        <v>274</v>
      </c>
      <c r="L326" s="76" t="s">
        <v>284</v>
      </c>
      <c r="M326" s="37">
        <v>15368623.43</v>
      </c>
      <c r="N326" s="109"/>
      <c r="O326" s="109"/>
      <c r="P326" s="109"/>
      <c r="Q326" s="37">
        <v>15368623.43</v>
      </c>
      <c r="R326" s="37">
        <f t="shared" si="24"/>
        <v>2546.9620042756997</v>
      </c>
      <c r="S326" s="29">
        <v>14736.15</v>
      </c>
      <c r="T326" s="24" t="s">
        <v>1359</v>
      </c>
      <c r="U326" s="118">
        <v>6.3</v>
      </c>
      <c r="V326" s="296">
        <v>2018</v>
      </c>
    </row>
    <row r="327" spans="1:22" ht="75">
      <c r="A327" s="70">
        <v>253</v>
      </c>
      <c r="B327" s="99" t="s">
        <v>553</v>
      </c>
      <c r="C327" s="76">
        <v>1961</v>
      </c>
      <c r="D327" s="35">
        <v>2009</v>
      </c>
      <c r="E327" s="29" t="s">
        <v>374</v>
      </c>
      <c r="F327" s="76">
        <v>3</v>
      </c>
      <c r="G327" s="76">
        <v>3</v>
      </c>
      <c r="H327" s="37">
        <v>1406.8</v>
      </c>
      <c r="I327" s="37">
        <v>1321</v>
      </c>
      <c r="J327" s="37">
        <v>1096.7</v>
      </c>
      <c r="K327" s="36">
        <v>76</v>
      </c>
      <c r="L327" s="76" t="s">
        <v>98</v>
      </c>
      <c r="M327" s="37">
        <v>1170763.53</v>
      </c>
      <c r="N327" s="109"/>
      <c r="O327" s="109"/>
      <c r="P327" s="109"/>
      <c r="Q327" s="37">
        <v>1170763.53</v>
      </c>
      <c r="R327" s="37">
        <f t="shared" si="24"/>
        <v>886.2706510219531</v>
      </c>
      <c r="S327" s="29">
        <v>14736.15</v>
      </c>
      <c r="T327" s="24" t="s">
        <v>1359</v>
      </c>
      <c r="U327" s="118">
        <v>6.3</v>
      </c>
      <c r="V327" s="296">
        <v>2018</v>
      </c>
    </row>
    <row r="328" spans="1:22" ht="195">
      <c r="A328" s="70">
        <v>254</v>
      </c>
      <c r="B328" s="99" t="s">
        <v>1411</v>
      </c>
      <c r="C328" s="35">
        <v>1972</v>
      </c>
      <c r="D328" s="35"/>
      <c r="E328" s="29" t="s">
        <v>374</v>
      </c>
      <c r="F328" s="76">
        <v>5</v>
      </c>
      <c r="G328" s="76">
        <v>1</v>
      </c>
      <c r="H328" s="37">
        <v>1680.9</v>
      </c>
      <c r="I328" s="37">
        <v>1510.4</v>
      </c>
      <c r="J328" s="37">
        <v>1257.9</v>
      </c>
      <c r="K328" s="36">
        <v>72</v>
      </c>
      <c r="L328" s="29" t="s">
        <v>514</v>
      </c>
      <c r="M328" s="37">
        <v>3243962.12</v>
      </c>
      <c r="N328" s="37"/>
      <c r="O328" s="37"/>
      <c r="P328" s="37"/>
      <c r="Q328" s="37">
        <v>3243962.12</v>
      </c>
      <c r="R328" s="37">
        <f t="shared" si="24"/>
        <v>2147.750344279661</v>
      </c>
      <c r="S328" s="29">
        <v>14736.15</v>
      </c>
      <c r="T328" s="24" t="s">
        <v>1359</v>
      </c>
      <c r="U328" s="118">
        <v>6.3</v>
      </c>
      <c r="V328" s="296">
        <v>2018</v>
      </c>
    </row>
    <row r="329" spans="1:22" ht="60">
      <c r="A329" s="70">
        <v>255</v>
      </c>
      <c r="B329" s="99" t="s">
        <v>1412</v>
      </c>
      <c r="C329" s="35">
        <v>1973</v>
      </c>
      <c r="D329" s="35">
        <v>2009</v>
      </c>
      <c r="E329" s="29" t="s">
        <v>374</v>
      </c>
      <c r="F329" s="35">
        <v>5</v>
      </c>
      <c r="G329" s="35">
        <v>2</v>
      </c>
      <c r="H329" s="37">
        <v>3548.02</v>
      </c>
      <c r="I329" s="37">
        <v>3338.62</v>
      </c>
      <c r="J329" s="37">
        <v>2396.02</v>
      </c>
      <c r="K329" s="36">
        <v>233</v>
      </c>
      <c r="L329" s="29" t="s">
        <v>1650</v>
      </c>
      <c r="M329" s="37">
        <v>3269486</v>
      </c>
      <c r="N329" s="37"/>
      <c r="O329" s="37"/>
      <c r="P329" s="37"/>
      <c r="Q329" s="37">
        <v>3269486</v>
      </c>
      <c r="R329" s="37">
        <f t="shared" si="24"/>
        <v>979.2926418699942</v>
      </c>
      <c r="S329" s="29">
        <v>14736.15</v>
      </c>
      <c r="T329" s="24" t="s">
        <v>1359</v>
      </c>
      <c r="U329" s="118">
        <v>6.3</v>
      </c>
      <c r="V329" s="296">
        <v>2018</v>
      </c>
    </row>
    <row r="330" spans="1:22" ht="135">
      <c r="A330" s="70">
        <v>256</v>
      </c>
      <c r="B330" s="99" t="s">
        <v>1413</v>
      </c>
      <c r="C330" s="35">
        <v>1962</v>
      </c>
      <c r="D330" s="35"/>
      <c r="E330" s="29" t="s">
        <v>374</v>
      </c>
      <c r="F330" s="35">
        <v>4</v>
      </c>
      <c r="G330" s="35">
        <v>3</v>
      </c>
      <c r="H330" s="37">
        <v>2348.1</v>
      </c>
      <c r="I330" s="37">
        <v>2168.1</v>
      </c>
      <c r="J330" s="37">
        <v>1875.7</v>
      </c>
      <c r="K330" s="36">
        <v>87</v>
      </c>
      <c r="L330" s="29" t="s">
        <v>391</v>
      </c>
      <c r="M330" s="37">
        <v>3750891.08</v>
      </c>
      <c r="N330" s="37"/>
      <c r="O330" s="37"/>
      <c r="P330" s="37"/>
      <c r="Q330" s="37">
        <v>3750891.08</v>
      </c>
      <c r="R330" s="37">
        <f t="shared" si="24"/>
        <v>1730.0360130990268</v>
      </c>
      <c r="S330" s="29">
        <v>14736.15</v>
      </c>
      <c r="T330" s="24" t="s">
        <v>1359</v>
      </c>
      <c r="U330" s="118">
        <v>6.3</v>
      </c>
      <c r="V330" s="296">
        <v>2018</v>
      </c>
    </row>
    <row r="331" spans="1:22" ht="45">
      <c r="A331" s="70">
        <v>257</v>
      </c>
      <c r="B331" s="99" t="s">
        <v>1414</v>
      </c>
      <c r="C331" s="35">
        <v>1967</v>
      </c>
      <c r="D331" s="35"/>
      <c r="E331" s="29" t="s">
        <v>374</v>
      </c>
      <c r="F331" s="35">
        <v>5</v>
      </c>
      <c r="G331" s="35">
        <v>1</v>
      </c>
      <c r="H331" s="37">
        <v>1950.8</v>
      </c>
      <c r="I331" s="37">
        <v>1868.8</v>
      </c>
      <c r="J331" s="37">
        <v>1595.83</v>
      </c>
      <c r="K331" s="36">
        <v>218</v>
      </c>
      <c r="L331" s="29" t="s">
        <v>497</v>
      </c>
      <c r="M331" s="37">
        <v>1626524.4</v>
      </c>
      <c r="N331" s="37"/>
      <c r="O331" s="37"/>
      <c r="P331" s="37"/>
      <c r="Q331" s="37">
        <v>1626524.4</v>
      </c>
      <c r="R331" s="37">
        <f t="shared" si="24"/>
        <v>870.3576626712329</v>
      </c>
      <c r="S331" s="29">
        <v>14736.15</v>
      </c>
      <c r="T331" s="24" t="s">
        <v>1359</v>
      </c>
      <c r="U331" s="118">
        <v>6.3</v>
      </c>
      <c r="V331" s="296">
        <v>2018</v>
      </c>
    </row>
    <row r="332" spans="1:22" ht="90">
      <c r="A332" s="70">
        <v>258</v>
      </c>
      <c r="B332" s="99" t="s">
        <v>1415</v>
      </c>
      <c r="C332" s="35">
        <v>1966</v>
      </c>
      <c r="D332" s="35"/>
      <c r="E332" s="29" t="s">
        <v>374</v>
      </c>
      <c r="F332" s="35">
        <v>5</v>
      </c>
      <c r="G332" s="35">
        <v>4</v>
      </c>
      <c r="H332" s="37">
        <v>2583</v>
      </c>
      <c r="I332" s="37">
        <v>2583</v>
      </c>
      <c r="J332" s="37">
        <v>2583</v>
      </c>
      <c r="K332" s="36">
        <v>128</v>
      </c>
      <c r="L332" s="29" t="s">
        <v>392</v>
      </c>
      <c r="M332" s="37">
        <v>4604457.87</v>
      </c>
      <c r="N332" s="37"/>
      <c r="O332" s="37"/>
      <c r="P332" s="37"/>
      <c r="Q332" s="37">
        <v>4604457.87</v>
      </c>
      <c r="R332" s="37">
        <f t="shared" si="24"/>
        <v>1782.6008013937283</v>
      </c>
      <c r="S332" s="29">
        <v>14736.15</v>
      </c>
      <c r="T332" s="24" t="s">
        <v>1359</v>
      </c>
      <c r="U332" s="118">
        <v>6.3</v>
      </c>
      <c r="V332" s="296">
        <v>2018</v>
      </c>
    </row>
    <row r="333" spans="1:22" ht="75">
      <c r="A333" s="70">
        <v>259</v>
      </c>
      <c r="B333" s="99" t="s">
        <v>5</v>
      </c>
      <c r="C333" s="35">
        <v>1959</v>
      </c>
      <c r="D333" s="35"/>
      <c r="E333" s="29" t="s">
        <v>374</v>
      </c>
      <c r="F333" s="35">
        <v>3</v>
      </c>
      <c r="G333" s="35">
        <v>2</v>
      </c>
      <c r="H333" s="37">
        <v>924.1</v>
      </c>
      <c r="I333" s="37">
        <v>824.5</v>
      </c>
      <c r="J333" s="37">
        <v>824.5</v>
      </c>
      <c r="K333" s="36">
        <v>20</v>
      </c>
      <c r="L333" s="29" t="s">
        <v>1012</v>
      </c>
      <c r="M333" s="37">
        <v>724425.6</v>
      </c>
      <c r="N333" s="37"/>
      <c r="O333" s="37"/>
      <c r="P333" s="37"/>
      <c r="Q333" s="37">
        <v>724425.6</v>
      </c>
      <c r="R333" s="37">
        <f t="shared" si="24"/>
        <v>878.6241358399029</v>
      </c>
      <c r="S333" s="29">
        <v>14736.15</v>
      </c>
      <c r="T333" s="24" t="s">
        <v>1359</v>
      </c>
      <c r="U333" s="118">
        <v>6.3</v>
      </c>
      <c r="V333" s="296">
        <v>2018</v>
      </c>
    </row>
    <row r="334" spans="1:22" ht="165">
      <c r="A334" s="70">
        <v>260</v>
      </c>
      <c r="B334" s="99" t="s">
        <v>569</v>
      </c>
      <c r="C334" s="35">
        <v>1962</v>
      </c>
      <c r="D334" s="35"/>
      <c r="E334" s="29" t="s">
        <v>374</v>
      </c>
      <c r="F334" s="35">
        <v>5</v>
      </c>
      <c r="G334" s="35">
        <v>3</v>
      </c>
      <c r="H334" s="37">
        <v>3160.78</v>
      </c>
      <c r="I334" s="37">
        <v>2920.78</v>
      </c>
      <c r="J334" s="37">
        <v>1784.22</v>
      </c>
      <c r="K334" s="36">
        <v>199</v>
      </c>
      <c r="L334" s="29" t="s">
        <v>393</v>
      </c>
      <c r="M334" s="37">
        <v>5803941.27</v>
      </c>
      <c r="N334" s="49"/>
      <c r="O334" s="37"/>
      <c r="P334" s="37"/>
      <c r="Q334" s="37">
        <v>5803941.27</v>
      </c>
      <c r="R334" s="37">
        <f t="shared" si="24"/>
        <v>1987.1203137518057</v>
      </c>
      <c r="S334" s="29">
        <v>14736.15</v>
      </c>
      <c r="T334" s="24" t="s">
        <v>1359</v>
      </c>
      <c r="U334" s="118">
        <v>6.3</v>
      </c>
      <c r="V334" s="296">
        <v>2018</v>
      </c>
    </row>
    <row r="335" spans="1:22" ht="45">
      <c r="A335" s="70">
        <v>261</v>
      </c>
      <c r="B335" s="99" t="s">
        <v>7</v>
      </c>
      <c r="C335" s="35">
        <v>1960</v>
      </c>
      <c r="D335" s="35">
        <v>2009</v>
      </c>
      <c r="E335" s="29" t="s">
        <v>374</v>
      </c>
      <c r="F335" s="35">
        <v>2</v>
      </c>
      <c r="G335" s="35">
        <v>1</v>
      </c>
      <c r="H335" s="37">
        <v>272.8</v>
      </c>
      <c r="I335" s="37">
        <v>272.8</v>
      </c>
      <c r="J335" s="37">
        <v>235</v>
      </c>
      <c r="K335" s="36">
        <v>21</v>
      </c>
      <c r="L335" s="29" t="s">
        <v>384</v>
      </c>
      <c r="M335" s="37">
        <v>141205.49</v>
      </c>
      <c r="N335" s="37"/>
      <c r="O335" s="37"/>
      <c r="P335" s="37"/>
      <c r="Q335" s="37">
        <v>141205.49</v>
      </c>
      <c r="R335" s="37">
        <f t="shared" si="24"/>
        <v>517.6154325513196</v>
      </c>
      <c r="S335" s="29">
        <v>14736.15</v>
      </c>
      <c r="T335" s="24" t="s">
        <v>1359</v>
      </c>
      <c r="U335" s="118">
        <v>6.3</v>
      </c>
      <c r="V335" s="296">
        <v>2018</v>
      </c>
    </row>
    <row r="336" spans="1:22" ht="45">
      <c r="A336" s="70">
        <v>262</v>
      </c>
      <c r="B336" s="99" t="s">
        <v>8</v>
      </c>
      <c r="C336" s="35">
        <v>1961</v>
      </c>
      <c r="D336" s="35">
        <v>2009</v>
      </c>
      <c r="E336" s="29" t="s">
        <v>374</v>
      </c>
      <c r="F336" s="35">
        <v>2</v>
      </c>
      <c r="G336" s="35">
        <v>1</v>
      </c>
      <c r="H336" s="37">
        <v>410.6</v>
      </c>
      <c r="I336" s="37">
        <v>410.6</v>
      </c>
      <c r="J336" s="37">
        <v>71.5</v>
      </c>
      <c r="K336" s="36">
        <v>28</v>
      </c>
      <c r="L336" s="29" t="s">
        <v>384</v>
      </c>
      <c r="M336" s="37">
        <v>156478.52</v>
      </c>
      <c r="N336" s="37"/>
      <c r="O336" s="37"/>
      <c r="P336" s="37"/>
      <c r="Q336" s="37">
        <v>156478.52</v>
      </c>
      <c r="R336" s="37">
        <f t="shared" si="24"/>
        <v>381.09722357525567</v>
      </c>
      <c r="S336" s="29">
        <v>14736.15</v>
      </c>
      <c r="T336" s="24" t="s">
        <v>1359</v>
      </c>
      <c r="U336" s="118">
        <v>6.3</v>
      </c>
      <c r="V336" s="296">
        <v>2018</v>
      </c>
    </row>
    <row r="337" spans="1:22" ht="45">
      <c r="A337" s="70">
        <v>263</v>
      </c>
      <c r="B337" s="99" t="s">
        <v>9</v>
      </c>
      <c r="C337" s="35">
        <v>1967</v>
      </c>
      <c r="D337" s="35"/>
      <c r="E337" s="29" t="s">
        <v>374</v>
      </c>
      <c r="F337" s="35">
        <v>5</v>
      </c>
      <c r="G337" s="35">
        <v>3</v>
      </c>
      <c r="H337" s="37">
        <v>2684.2</v>
      </c>
      <c r="I337" s="37">
        <v>2459.2</v>
      </c>
      <c r="J337" s="37">
        <v>1961.8</v>
      </c>
      <c r="K337" s="36">
        <v>127</v>
      </c>
      <c r="L337" s="29" t="s">
        <v>497</v>
      </c>
      <c r="M337" s="37">
        <v>2353907.79</v>
      </c>
      <c r="N337" s="37"/>
      <c r="O337" s="37"/>
      <c r="P337" s="37"/>
      <c r="Q337" s="37">
        <v>2353907.79</v>
      </c>
      <c r="R337" s="37">
        <f t="shared" si="24"/>
        <v>957.1843648340924</v>
      </c>
      <c r="S337" s="29">
        <v>14736.15</v>
      </c>
      <c r="T337" s="24" t="s">
        <v>1359</v>
      </c>
      <c r="U337" s="118">
        <v>6.3</v>
      </c>
      <c r="V337" s="296">
        <v>2018</v>
      </c>
    </row>
    <row r="338" spans="1:22" ht="45">
      <c r="A338" s="70">
        <v>264</v>
      </c>
      <c r="B338" s="99" t="s">
        <v>10</v>
      </c>
      <c r="C338" s="35">
        <v>1964</v>
      </c>
      <c r="D338" s="35"/>
      <c r="E338" s="29" t="s">
        <v>374</v>
      </c>
      <c r="F338" s="35">
        <v>5</v>
      </c>
      <c r="G338" s="35">
        <v>5</v>
      </c>
      <c r="H338" s="37">
        <v>5651.55</v>
      </c>
      <c r="I338" s="37">
        <v>5257.55</v>
      </c>
      <c r="J338" s="37">
        <v>5019.35</v>
      </c>
      <c r="K338" s="36">
        <v>199</v>
      </c>
      <c r="L338" s="29" t="s">
        <v>489</v>
      </c>
      <c r="M338" s="37">
        <v>3796539.89</v>
      </c>
      <c r="N338" s="37"/>
      <c r="O338" s="37"/>
      <c r="P338" s="37"/>
      <c r="Q338" s="37">
        <v>3796539.89</v>
      </c>
      <c r="R338" s="37">
        <f t="shared" si="24"/>
        <v>722.1119894247321</v>
      </c>
      <c r="S338" s="29">
        <v>14736.15</v>
      </c>
      <c r="T338" s="24" t="s">
        <v>1359</v>
      </c>
      <c r="U338" s="118">
        <v>6.3</v>
      </c>
      <c r="V338" s="296">
        <v>2018</v>
      </c>
    </row>
    <row r="339" spans="1:22" ht="45">
      <c r="A339" s="70">
        <v>265</v>
      </c>
      <c r="B339" s="99" t="s">
        <v>1416</v>
      </c>
      <c r="C339" s="35">
        <v>1974</v>
      </c>
      <c r="D339" s="35">
        <v>2012</v>
      </c>
      <c r="E339" s="29" t="s">
        <v>374</v>
      </c>
      <c r="F339" s="35">
        <v>5</v>
      </c>
      <c r="G339" s="35">
        <v>1</v>
      </c>
      <c r="H339" s="37">
        <v>5582.969999999999</v>
      </c>
      <c r="I339" s="37">
        <v>3812.87</v>
      </c>
      <c r="J339" s="37">
        <v>3667.18</v>
      </c>
      <c r="K339" s="36">
        <v>298</v>
      </c>
      <c r="L339" s="29" t="s">
        <v>570</v>
      </c>
      <c r="M339" s="37">
        <v>4036965.43</v>
      </c>
      <c r="N339" s="37"/>
      <c r="O339" s="37"/>
      <c r="P339" s="37"/>
      <c r="Q339" s="37">
        <v>4036965.43</v>
      </c>
      <c r="R339" s="37">
        <f t="shared" si="24"/>
        <v>1058.7734252675807</v>
      </c>
      <c r="S339" s="29">
        <v>14736.15</v>
      </c>
      <c r="T339" s="24" t="s">
        <v>1359</v>
      </c>
      <c r="U339" s="118">
        <v>6.3</v>
      </c>
      <c r="V339" s="296">
        <v>2018</v>
      </c>
    </row>
    <row r="340" spans="1:22" ht="195">
      <c r="A340" s="70">
        <v>266</v>
      </c>
      <c r="B340" s="99" t="s">
        <v>1417</v>
      </c>
      <c r="C340" s="35">
        <v>1972</v>
      </c>
      <c r="D340" s="35"/>
      <c r="E340" s="29" t="s">
        <v>374</v>
      </c>
      <c r="F340" s="35">
        <v>5</v>
      </c>
      <c r="G340" s="35">
        <v>2</v>
      </c>
      <c r="H340" s="37">
        <v>4161.08</v>
      </c>
      <c r="I340" s="37">
        <v>4013.08</v>
      </c>
      <c r="J340" s="37">
        <v>3823.37</v>
      </c>
      <c r="K340" s="36">
        <v>277</v>
      </c>
      <c r="L340" s="29" t="s">
        <v>285</v>
      </c>
      <c r="M340" s="37">
        <v>5278832.14</v>
      </c>
      <c r="N340" s="37"/>
      <c r="O340" s="37"/>
      <c r="P340" s="37"/>
      <c r="Q340" s="37">
        <v>5278832.14</v>
      </c>
      <c r="R340" s="37">
        <f t="shared" si="24"/>
        <v>1315.4066552373738</v>
      </c>
      <c r="S340" s="29">
        <v>14736.15</v>
      </c>
      <c r="T340" s="24" t="s">
        <v>1359</v>
      </c>
      <c r="U340" s="118">
        <v>6.3</v>
      </c>
      <c r="V340" s="296">
        <v>2018</v>
      </c>
    </row>
    <row r="341" spans="1:22" ht="180">
      <c r="A341" s="70">
        <v>267</v>
      </c>
      <c r="B341" s="99" t="s">
        <v>1419</v>
      </c>
      <c r="C341" s="35">
        <v>1973</v>
      </c>
      <c r="D341" s="35"/>
      <c r="E341" s="29" t="s">
        <v>374</v>
      </c>
      <c r="F341" s="35">
        <v>9</v>
      </c>
      <c r="G341" s="35">
        <v>1</v>
      </c>
      <c r="H341" s="37">
        <v>2613.1</v>
      </c>
      <c r="I341" s="37">
        <v>2310.5</v>
      </c>
      <c r="J341" s="37">
        <v>2116</v>
      </c>
      <c r="K341" s="36">
        <v>102</v>
      </c>
      <c r="L341" s="29" t="s">
        <v>394</v>
      </c>
      <c r="M341" s="37">
        <v>3946926.11</v>
      </c>
      <c r="N341" s="37"/>
      <c r="O341" s="37"/>
      <c r="P341" s="37"/>
      <c r="Q341" s="37">
        <v>3946926.11</v>
      </c>
      <c r="R341" s="37">
        <f t="shared" si="24"/>
        <v>1708.2562692057995</v>
      </c>
      <c r="S341" s="29">
        <v>14736.15</v>
      </c>
      <c r="T341" s="24" t="s">
        <v>1359</v>
      </c>
      <c r="U341" s="118">
        <v>6.3</v>
      </c>
      <c r="V341" s="296">
        <v>2018</v>
      </c>
    </row>
    <row r="342" spans="1:22" ht="45">
      <c r="A342" s="70">
        <v>268</v>
      </c>
      <c r="B342" s="99" t="s">
        <v>178</v>
      </c>
      <c r="C342" s="35">
        <v>1957</v>
      </c>
      <c r="D342" s="35">
        <v>2008</v>
      </c>
      <c r="E342" s="29" t="s">
        <v>374</v>
      </c>
      <c r="F342" s="35">
        <v>3</v>
      </c>
      <c r="G342" s="35">
        <v>1</v>
      </c>
      <c r="H342" s="37">
        <v>1571.86</v>
      </c>
      <c r="I342" s="37">
        <v>1490.86</v>
      </c>
      <c r="J342" s="37">
        <v>870.75</v>
      </c>
      <c r="K342" s="36">
        <v>138</v>
      </c>
      <c r="L342" s="29" t="s">
        <v>497</v>
      </c>
      <c r="M342" s="37">
        <v>2223040.8</v>
      </c>
      <c r="N342" s="37"/>
      <c r="O342" s="37"/>
      <c r="P342" s="37"/>
      <c r="Q342" s="37">
        <v>2223040.8</v>
      </c>
      <c r="R342" s="37">
        <f t="shared" si="24"/>
        <v>1491.1130488442911</v>
      </c>
      <c r="S342" s="29">
        <v>14736.15</v>
      </c>
      <c r="T342" s="24" t="s">
        <v>1359</v>
      </c>
      <c r="U342" s="118">
        <v>6.3</v>
      </c>
      <c r="V342" s="296">
        <v>2018</v>
      </c>
    </row>
    <row r="343" spans="1:22" ht="60">
      <c r="A343" s="70">
        <v>269</v>
      </c>
      <c r="B343" s="99" t="s">
        <v>179</v>
      </c>
      <c r="C343" s="35">
        <v>1964</v>
      </c>
      <c r="D343" s="35">
        <v>2016</v>
      </c>
      <c r="E343" s="29" t="s">
        <v>374</v>
      </c>
      <c r="F343" s="35">
        <v>5</v>
      </c>
      <c r="G343" s="35">
        <v>2</v>
      </c>
      <c r="H343" s="37">
        <v>1995.6</v>
      </c>
      <c r="I343" s="37">
        <v>1847.6</v>
      </c>
      <c r="J343" s="37">
        <v>1649.2</v>
      </c>
      <c r="K343" s="36">
        <v>90</v>
      </c>
      <c r="L343" s="29" t="s">
        <v>146</v>
      </c>
      <c r="M343" s="37">
        <v>2242984.95</v>
      </c>
      <c r="N343" s="37"/>
      <c r="O343" s="37"/>
      <c r="P343" s="37"/>
      <c r="Q343" s="37">
        <v>2242984.95</v>
      </c>
      <c r="R343" s="37">
        <f t="shared" si="24"/>
        <v>1213.999215198095</v>
      </c>
      <c r="S343" s="29">
        <v>14736.15</v>
      </c>
      <c r="T343" s="24" t="s">
        <v>1359</v>
      </c>
      <c r="U343" s="118">
        <v>6.3</v>
      </c>
      <c r="V343" s="296">
        <v>2018</v>
      </c>
    </row>
    <row r="344" spans="1:22" ht="90">
      <c r="A344" s="70">
        <v>270</v>
      </c>
      <c r="B344" s="99" t="s">
        <v>1420</v>
      </c>
      <c r="C344" s="35">
        <v>1975</v>
      </c>
      <c r="D344" s="35">
        <v>2009</v>
      </c>
      <c r="E344" s="76" t="s">
        <v>494</v>
      </c>
      <c r="F344" s="35">
        <v>5</v>
      </c>
      <c r="G344" s="35">
        <v>4</v>
      </c>
      <c r="H344" s="37">
        <v>3825.3</v>
      </c>
      <c r="I344" s="37">
        <v>2987.3</v>
      </c>
      <c r="J344" s="37">
        <v>2708.9</v>
      </c>
      <c r="K344" s="36">
        <v>155</v>
      </c>
      <c r="L344" s="29" t="s">
        <v>99</v>
      </c>
      <c r="M344" s="37">
        <v>3217340.09</v>
      </c>
      <c r="N344" s="37"/>
      <c r="O344" s="37"/>
      <c r="P344" s="37"/>
      <c r="Q344" s="37">
        <v>3217340.09</v>
      </c>
      <c r="R344" s="37">
        <f t="shared" si="24"/>
        <v>1077.0060221604792</v>
      </c>
      <c r="S344" s="29">
        <v>14736.15</v>
      </c>
      <c r="T344" s="24" t="s">
        <v>1359</v>
      </c>
      <c r="U344" s="118">
        <v>6.3</v>
      </c>
      <c r="V344" s="296">
        <v>2018</v>
      </c>
    </row>
    <row r="345" spans="1:22" ht="135">
      <c r="A345" s="70">
        <v>271</v>
      </c>
      <c r="B345" s="99" t="s">
        <v>14</v>
      </c>
      <c r="C345" s="35">
        <v>1975</v>
      </c>
      <c r="D345" s="35"/>
      <c r="E345" s="76" t="s">
        <v>494</v>
      </c>
      <c r="F345" s="35">
        <v>5</v>
      </c>
      <c r="G345" s="35">
        <v>4</v>
      </c>
      <c r="H345" s="37">
        <v>3347.8</v>
      </c>
      <c r="I345" s="37">
        <v>3038.8</v>
      </c>
      <c r="J345" s="37">
        <v>2813.7</v>
      </c>
      <c r="K345" s="36">
        <v>163</v>
      </c>
      <c r="L345" s="29" t="s">
        <v>395</v>
      </c>
      <c r="M345" s="37">
        <v>3516898.04</v>
      </c>
      <c r="N345" s="37"/>
      <c r="O345" s="37"/>
      <c r="P345" s="37"/>
      <c r="Q345" s="37">
        <v>3516898.04</v>
      </c>
      <c r="R345" s="37">
        <f t="shared" si="24"/>
        <v>1157.331196524944</v>
      </c>
      <c r="S345" s="29">
        <v>14736.15</v>
      </c>
      <c r="T345" s="24" t="s">
        <v>1359</v>
      </c>
      <c r="U345" s="118">
        <v>6.3</v>
      </c>
      <c r="V345" s="296">
        <v>2018</v>
      </c>
    </row>
    <row r="346" spans="1:22" ht="150">
      <c r="A346" s="70">
        <v>272</v>
      </c>
      <c r="B346" s="99" t="s">
        <v>15</v>
      </c>
      <c r="C346" s="35">
        <v>1975</v>
      </c>
      <c r="D346" s="35"/>
      <c r="E346" s="76" t="s">
        <v>494</v>
      </c>
      <c r="F346" s="35">
        <v>5</v>
      </c>
      <c r="G346" s="35">
        <v>4</v>
      </c>
      <c r="H346" s="37">
        <v>3326.4</v>
      </c>
      <c r="I346" s="37">
        <v>3008.4</v>
      </c>
      <c r="J346" s="37">
        <v>2668.3</v>
      </c>
      <c r="K346" s="36">
        <v>130</v>
      </c>
      <c r="L346" s="29" t="s">
        <v>396</v>
      </c>
      <c r="M346" s="37">
        <v>5597753.77</v>
      </c>
      <c r="N346" s="37"/>
      <c r="O346" s="37"/>
      <c r="P346" s="37"/>
      <c r="Q346" s="37">
        <v>5597753.77</v>
      </c>
      <c r="R346" s="37">
        <f t="shared" si="24"/>
        <v>1860.707941098258</v>
      </c>
      <c r="S346" s="29">
        <v>14736.15</v>
      </c>
      <c r="T346" s="24" t="s">
        <v>1359</v>
      </c>
      <c r="U346" s="118">
        <v>6.3</v>
      </c>
      <c r="V346" s="296">
        <v>2018</v>
      </c>
    </row>
    <row r="347" spans="1:22" ht="165">
      <c r="A347" s="70">
        <v>273</v>
      </c>
      <c r="B347" s="99" t="s">
        <v>571</v>
      </c>
      <c r="C347" s="35">
        <v>1960</v>
      </c>
      <c r="D347" s="35"/>
      <c r="E347" s="29" t="s">
        <v>374</v>
      </c>
      <c r="F347" s="35">
        <v>5</v>
      </c>
      <c r="G347" s="35">
        <v>4</v>
      </c>
      <c r="H347" s="37">
        <v>4177.34</v>
      </c>
      <c r="I347" s="37">
        <v>3817.34</v>
      </c>
      <c r="J347" s="37">
        <v>3562.95</v>
      </c>
      <c r="K347" s="36">
        <v>214</v>
      </c>
      <c r="L347" s="29" t="s">
        <v>397</v>
      </c>
      <c r="M347" s="37">
        <v>5307661.08</v>
      </c>
      <c r="N347" s="37"/>
      <c r="O347" s="37"/>
      <c r="P347" s="37"/>
      <c r="Q347" s="37">
        <v>5307661.08</v>
      </c>
      <c r="R347" s="37">
        <f t="shared" si="24"/>
        <v>1390.4082633456806</v>
      </c>
      <c r="S347" s="29">
        <v>14736.15</v>
      </c>
      <c r="T347" s="24" t="s">
        <v>1359</v>
      </c>
      <c r="U347" s="118">
        <v>6.3</v>
      </c>
      <c r="V347" s="296">
        <v>2018</v>
      </c>
    </row>
    <row r="348" spans="1:22" ht="195">
      <c r="A348" s="70">
        <v>274</v>
      </c>
      <c r="B348" s="99" t="s">
        <v>572</v>
      </c>
      <c r="C348" s="35">
        <v>1961</v>
      </c>
      <c r="D348" s="35"/>
      <c r="E348" s="29" t="s">
        <v>374</v>
      </c>
      <c r="F348" s="35">
        <v>4</v>
      </c>
      <c r="G348" s="35">
        <v>2</v>
      </c>
      <c r="H348" s="37">
        <v>2336.08</v>
      </c>
      <c r="I348" s="37">
        <v>2330</v>
      </c>
      <c r="J348" s="37">
        <v>2248.12</v>
      </c>
      <c r="K348" s="36">
        <v>160</v>
      </c>
      <c r="L348" s="29" t="s">
        <v>398</v>
      </c>
      <c r="M348" s="37">
        <v>7027534.63</v>
      </c>
      <c r="N348" s="37"/>
      <c r="O348" s="37"/>
      <c r="P348" s="37"/>
      <c r="Q348" s="37">
        <v>7027534.63</v>
      </c>
      <c r="R348" s="37">
        <f t="shared" si="24"/>
        <v>3016.1092832618024</v>
      </c>
      <c r="S348" s="29">
        <v>14736.15</v>
      </c>
      <c r="T348" s="24" t="s">
        <v>1359</v>
      </c>
      <c r="U348" s="118">
        <v>6.3</v>
      </c>
      <c r="V348" s="296">
        <v>2018</v>
      </c>
    </row>
    <row r="349" spans="1:22" ht="165">
      <c r="A349" s="70">
        <v>275</v>
      </c>
      <c r="B349" s="99" t="s">
        <v>573</v>
      </c>
      <c r="C349" s="35">
        <v>1960</v>
      </c>
      <c r="D349" s="35"/>
      <c r="E349" s="29" t="s">
        <v>374</v>
      </c>
      <c r="F349" s="35">
        <v>4</v>
      </c>
      <c r="G349" s="35">
        <v>2</v>
      </c>
      <c r="H349" s="37">
        <v>1482.7</v>
      </c>
      <c r="I349" s="37">
        <v>1330.7</v>
      </c>
      <c r="J349" s="37">
        <v>1299.2</v>
      </c>
      <c r="K349" s="36">
        <v>54</v>
      </c>
      <c r="L349" s="29" t="s">
        <v>399</v>
      </c>
      <c r="M349" s="37">
        <v>2919311.35</v>
      </c>
      <c r="N349" s="37"/>
      <c r="O349" s="37"/>
      <c r="P349" s="37"/>
      <c r="Q349" s="37">
        <v>2919311.35</v>
      </c>
      <c r="R349" s="37">
        <f t="shared" si="24"/>
        <v>2193.8162996918913</v>
      </c>
      <c r="S349" s="29">
        <v>14736.15</v>
      </c>
      <c r="T349" s="24" t="s">
        <v>1359</v>
      </c>
      <c r="U349" s="118">
        <v>6.3</v>
      </c>
      <c r="V349" s="296">
        <v>2018</v>
      </c>
    </row>
    <row r="350" spans="1:22" ht="45">
      <c r="A350" s="70">
        <v>276</v>
      </c>
      <c r="B350" s="99" t="s">
        <v>805</v>
      </c>
      <c r="C350" s="35">
        <v>1969</v>
      </c>
      <c r="D350" s="35"/>
      <c r="E350" s="29" t="s">
        <v>374</v>
      </c>
      <c r="F350" s="35">
        <v>5</v>
      </c>
      <c r="G350" s="35">
        <v>3</v>
      </c>
      <c r="H350" s="37">
        <v>3742.23</v>
      </c>
      <c r="I350" s="37">
        <v>3515.23</v>
      </c>
      <c r="J350" s="37">
        <v>3356.92</v>
      </c>
      <c r="K350" s="36">
        <v>268</v>
      </c>
      <c r="L350" s="29" t="s">
        <v>497</v>
      </c>
      <c r="M350" s="37">
        <v>2570691.48</v>
      </c>
      <c r="N350" s="37"/>
      <c r="O350" s="37"/>
      <c r="P350" s="37"/>
      <c r="Q350" s="37">
        <v>2570691.48</v>
      </c>
      <c r="R350" s="37">
        <f t="shared" si="24"/>
        <v>731.3010756052946</v>
      </c>
      <c r="S350" s="29">
        <v>14736.15</v>
      </c>
      <c r="T350" s="24" t="s">
        <v>1359</v>
      </c>
      <c r="U350" s="118">
        <v>6.3</v>
      </c>
      <c r="V350" s="296">
        <v>2018</v>
      </c>
    </row>
    <row r="351" spans="1:22" ht="165">
      <c r="A351" s="70">
        <v>277</v>
      </c>
      <c r="B351" s="99" t="s">
        <v>574</v>
      </c>
      <c r="C351" s="35">
        <v>1963</v>
      </c>
      <c r="D351" s="35"/>
      <c r="E351" s="29" t="s">
        <v>374</v>
      </c>
      <c r="F351" s="35">
        <v>4</v>
      </c>
      <c r="G351" s="35">
        <v>3</v>
      </c>
      <c r="H351" s="37">
        <v>2547.5</v>
      </c>
      <c r="I351" s="37">
        <v>2367.5</v>
      </c>
      <c r="J351" s="37">
        <v>2210.15</v>
      </c>
      <c r="K351" s="36">
        <v>200</v>
      </c>
      <c r="L351" s="29" t="s">
        <v>400</v>
      </c>
      <c r="M351" s="37">
        <v>4503062.88</v>
      </c>
      <c r="N351" s="37"/>
      <c r="O351" s="37"/>
      <c r="P351" s="37"/>
      <c r="Q351" s="37">
        <v>4503062.88</v>
      </c>
      <c r="R351" s="37">
        <f t="shared" si="24"/>
        <v>1902.0328954593454</v>
      </c>
      <c r="S351" s="29">
        <v>14736.15</v>
      </c>
      <c r="T351" s="24" t="s">
        <v>1359</v>
      </c>
      <c r="U351" s="118">
        <v>6.3</v>
      </c>
      <c r="V351" s="296">
        <v>2018</v>
      </c>
    </row>
    <row r="352" spans="1:22" ht="135">
      <c r="A352" s="70">
        <v>278</v>
      </c>
      <c r="B352" s="99" t="s">
        <v>575</v>
      </c>
      <c r="C352" s="35">
        <v>1963</v>
      </c>
      <c r="D352" s="35"/>
      <c r="E352" s="29" t="s">
        <v>374</v>
      </c>
      <c r="F352" s="35">
        <v>4</v>
      </c>
      <c r="G352" s="35">
        <v>4</v>
      </c>
      <c r="H352" s="37">
        <v>2808</v>
      </c>
      <c r="I352" s="37">
        <v>2550.8</v>
      </c>
      <c r="J352" s="37">
        <v>2231.2</v>
      </c>
      <c r="K352" s="36">
        <v>104</v>
      </c>
      <c r="L352" s="29" t="s">
        <v>632</v>
      </c>
      <c r="M352" s="37">
        <v>4438910.92</v>
      </c>
      <c r="N352" s="37"/>
      <c r="O352" s="37"/>
      <c r="P352" s="37"/>
      <c r="Q352" s="37">
        <v>4438910.92</v>
      </c>
      <c r="R352" s="37">
        <f t="shared" si="24"/>
        <v>1740.2034342167162</v>
      </c>
      <c r="S352" s="29">
        <v>14736.15</v>
      </c>
      <c r="T352" s="24" t="s">
        <v>1359</v>
      </c>
      <c r="U352" s="118">
        <v>6.3</v>
      </c>
      <c r="V352" s="296">
        <v>2018</v>
      </c>
    </row>
    <row r="353" spans="1:22" ht="45">
      <c r="A353" s="70">
        <v>279</v>
      </c>
      <c r="B353" s="99" t="s">
        <v>16</v>
      </c>
      <c r="C353" s="35">
        <v>1960</v>
      </c>
      <c r="D353" s="35">
        <v>2010</v>
      </c>
      <c r="E353" s="29" t="s">
        <v>374</v>
      </c>
      <c r="F353" s="35">
        <v>2</v>
      </c>
      <c r="G353" s="35">
        <v>1</v>
      </c>
      <c r="H353" s="37">
        <v>296.2</v>
      </c>
      <c r="I353" s="37">
        <v>272.3</v>
      </c>
      <c r="J353" s="37">
        <v>272.3</v>
      </c>
      <c r="K353" s="36">
        <v>19</v>
      </c>
      <c r="L353" s="29" t="s">
        <v>497</v>
      </c>
      <c r="M353" s="37">
        <v>665468.23</v>
      </c>
      <c r="N353" s="37"/>
      <c r="O353" s="37"/>
      <c r="P353" s="37"/>
      <c r="Q353" s="37">
        <v>665468.23</v>
      </c>
      <c r="R353" s="37">
        <f t="shared" si="24"/>
        <v>2443.878920308483</v>
      </c>
      <c r="S353" s="29">
        <v>14736.15</v>
      </c>
      <c r="T353" s="24" t="s">
        <v>1359</v>
      </c>
      <c r="U353" s="118">
        <v>6.3</v>
      </c>
      <c r="V353" s="296">
        <v>2018</v>
      </c>
    </row>
    <row r="354" spans="1:22" ht="45">
      <c r="A354" s="70">
        <v>280</v>
      </c>
      <c r="B354" s="99" t="s">
        <v>17</v>
      </c>
      <c r="C354" s="35">
        <v>1959</v>
      </c>
      <c r="D354" s="35">
        <v>2010</v>
      </c>
      <c r="E354" s="29" t="s">
        <v>374</v>
      </c>
      <c r="F354" s="35">
        <v>2</v>
      </c>
      <c r="G354" s="35">
        <v>1</v>
      </c>
      <c r="H354" s="37">
        <v>307.7</v>
      </c>
      <c r="I354" s="37">
        <v>281.5</v>
      </c>
      <c r="J354" s="37">
        <v>176.8</v>
      </c>
      <c r="K354" s="36">
        <v>22</v>
      </c>
      <c r="L354" s="29" t="s">
        <v>489</v>
      </c>
      <c r="M354" s="37">
        <v>608291.17</v>
      </c>
      <c r="N354" s="37"/>
      <c r="O354" s="37"/>
      <c r="P354" s="37"/>
      <c r="Q354" s="37">
        <v>608291.17</v>
      </c>
      <c r="R354" s="37">
        <f t="shared" si="24"/>
        <v>2160.892255772647</v>
      </c>
      <c r="S354" s="29">
        <v>14736.15</v>
      </c>
      <c r="T354" s="24" t="s">
        <v>1359</v>
      </c>
      <c r="U354" s="118">
        <v>6.3</v>
      </c>
      <c r="V354" s="296">
        <v>2018</v>
      </c>
    </row>
    <row r="355" spans="1:22" ht="45">
      <c r="A355" s="70">
        <v>281</v>
      </c>
      <c r="B355" s="99" t="s">
        <v>18</v>
      </c>
      <c r="C355" s="35">
        <v>1959</v>
      </c>
      <c r="D355" s="35">
        <v>2010</v>
      </c>
      <c r="E355" s="29" t="s">
        <v>374</v>
      </c>
      <c r="F355" s="35">
        <v>2</v>
      </c>
      <c r="G355" s="35">
        <v>1</v>
      </c>
      <c r="H355" s="37">
        <v>312.09999999999997</v>
      </c>
      <c r="I355" s="37">
        <v>285.2</v>
      </c>
      <c r="J355" s="37">
        <v>250.8</v>
      </c>
      <c r="K355" s="36">
        <v>11</v>
      </c>
      <c r="L355" s="29" t="s">
        <v>497</v>
      </c>
      <c r="M355" s="37">
        <v>621481.05</v>
      </c>
      <c r="N355" s="37"/>
      <c r="O355" s="37"/>
      <c r="P355" s="37"/>
      <c r="Q355" s="37">
        <v>621481.05</v>
      </c>
      <c r="R355" s="37">
        <f t="shared" si="24"/>
        <v>2179.1060659186537</v>
      </c>
      <c r="S355" s="29">
        <v>14736.15</v>
      </c>
      <c r="T355" s="24" t="s">
        <v>1359</v>
      </c>
      <c r="U355" s="118">
        <v>6.3</v>
      </c>
      <c r="V355" s="296">
        <v>2018</v>
      </c>
    </row>
    <row r="356" spans="1:22" ht="180">
      <c r="A356" s="70">
        <v>282</v>
      </c>
      <c r="B356" s="99" t="s">
        <v>1421</v>
      </c>
      <c r="C356" s="35">
        <v>1973</v>
      </c>
      <c r="D356" s="35"/>
      <c r="E356" s="29" t="s">
        <v>374</v>
      </c>
      <c r="F356" s="35">
        <v>2</v>
      </c>
      <c r="G356" s="35">
        <v>2</v>
      </c>
      <c r="H356" s="37">
        <v>1743.31</v>
      </c>
      <c r="I356" s="37">
        <v>957.91</v>
      </c>
      <c r="J356" s="37">
        <v>780.37</v>
      </c>
      <c r="K356" s="36">
        <v>56</v>
      </c>
      <c r="L356" s="29" t="s">
        <v>286</v>
      </c>
      <c r="M356" s="37">
        <v>3129717.85</v>
      </c>
      <c r="N356" s="37"/>
      <c r="O356" s="37"/>
      <c r="P356" s="37"/>
      <c r="Q356" s="37">
        <v>3129717.85</v>
      </c>
      <c r="R356" s="37">
        <f t="shared" si="24"/>
        <v>3267.235805033876</v>
      </c>
      <c r="S356" s="29">
        <v>14736.15</v>
      </c>
      <c r="T356" s="24" t="s">
        <v>1359</v>
      </c>
      <c r="U356" s="118">
        <v>6.3</v>
      </c>
      <c r="V356" s="296">
        <v>2018</v>
      </c>
    </row>
    <row r="357" spans="1:22" ht="120">
      <c r="A357" s="70">
        <v>283</v>
      </c>
      <c r="B357" s="99" t="s">
        <v>19</v>
      </c>
      <c r="C357" s="35" t="s">
        <v>1422</v>
      </c>
      <c r="D357" s="35">
        <v>2015</v>
      </c>
      <c r="E357" s="29" t="s">
        <v>374</v>
      </c>
      <c r="F357" s="35">
        <v>4</v>
      </c>
      <c r="G357" s="35">
        <v>4</v>
      </c>
      <c r="H357" s="37">
        <v>2509.2000000000003</v>
      </c>
      <c r="I357" s="37">
        <v>2217.8</v>
      </c>
      <c r="J357" s="37">
        <v>1882.9</v>
      </c>
      <c r="K357" s="36">
        <v>65</v>
      </c>
      <c r="L357" s="29" t="s">
        <v>1425</v>
      </c>
      <c r="M357" s="37">
        <v>5533482.17</v>
      </c>
      <c r="N357" s="37"/>
      <c r="O357" s="37"/>
      <c r="P357" s="37"/>
      <c r="Q357" s="37">
        <v>5533482.17</v>
      </c>
      <c r="R357" s="37">
        <f t="shared" si="24"/>
        <v>2495.032090359816</v>
      </c>
      <c r="S357" s="29">
        <v>14736.15</v>
      </c>
      <c r="T357" s="24" t="s">
        <v>1359</v>
      </c>
      <c r="U357" s="118">
        <v>6.3</v>
      </c>
      <c r="V357" s="296">
        <v>2018</v>
      </c>
    </row>
    <row r="358" spans="1:22" ht="75">
      <c r="A358" s="70">
        <v>284</v>
      </c>
      <c r="B358" s="99" t="s">
        <v>20</v>
      </c>
      <c r="C358" s="35">
        <v>1974</v>
      </c>
      <c r="D358" s="35"/>
      <c r="E358" s="29" t="s">
        <v>374</v>
      </c>
      <c r="F358" s="35">
        <v>2</v>
      </c>
      <c r="G358" s="35">
        <v>2</v>
      </c>
      <c r="H358" s="37">
        <v>579.3</v>
      </c>
      <c r="I358" s="37">
        <v>547.9</v>
      </c>
      <c r="J358" s="37">
        <v>162.1</v>
      </c>
      <c r="K358" s="36">
        <v>36</v>
      </c>
      <c r="L358" s="29" t="s">
        <v>1014</v>
      </c>
      <c r="M358" s="37">
        <v>774412.82</v>
      </c>
      <c r="N358" s="37"/>
      <c r="O358" s="37"/>
      <c r="P358" s="37"/>
      <c r="Q358" s="37">
        <v>774412.82</v>
      </c>
      <c r="R358" s="37">
        <f t="shared" si="24"/>
        <v>1413.4200036503012</v>
      </c>
      <c r="S358" s="29">
        <v>14736.15</v>
      </c>
      <c r="T358" s="24" t="s">
        <v>1359</v>
      </c>
      <c r="U358" s="118">
        <v>6.3</v>
      </c>
      <c r="V358" s="296">
        <v>2018</v>
      </c>
    </row>
    <row r="359" spans="1:22" ht="45">
      <c r="A359" s="70">
        <v>285</v>
      </c>
      <c r="B359" s="99" t="s">
        <v>986</v>
      </c>
      <c r="C359" s="35">
        <v>1965</v>
      </c>
      <c r="D359" s="35">
        <v>2015</v>
      </c>
      <c r="E359" s="76" t="s">
        <v>494</v>
      </c>
      <c r="F359" s="35">
        <v>5</v>
      </c>
      <c r="G359" s="35">
        <v>4</v>
      </c>
      <c r="H359" s="37">
        <v>3901.6</v>
      </c>
      <c r="I359" s="29">
        <v>3545.6</v>
      </c>
      <c r="J359" s="29">
        <v>2877.1</v>
      </c>
      <c r="K359" s="36">
        <v>209</v>
      </c>
      <c r="L359" s="29" t="s">
        <v>95</v>
      </c>
      <c r="M359" s="37">
        <v>1495273.69</v>
      </c>
      <c r="N359" s="29"/>
      <c r="O359" s="29"/>
      <c r="P359" s="29"/>
      <c r="Q359" s="37">
        <v>1495273.69</v>
      </c>
      <c r="R359" s="37">
        <f t="shared" si="24"/>
        <v>421.7265596796029</v>
      </c>
      <c r="S359" s="29">
        <v>14736.15</v>
      </c>
      <c r="T359" s="24" t="s">
        <v>1359</v>
      </c>
      <c r="U359" s="118">
        <v>6.3</v>
      </c>
      <c r="V359" s="296">
        <v>2018</v>
      </c>
    </row>
    <row r="360" spans="1:22" ht="45">
      <c r="A360" s="70">
        <v>286</v>
      </c>
      <c r="B360" s="99" t="s">
        <v>987</v>
      </c>
      <c r="C360" s="35">
        <v>1977</v>
      </c>
      <c r="D360" s="35"/>
      <c r="E360" s="76" t="s">
        <v>494</v>
      </c>
      <c r="F360" s="35">
        <v>9</v>
      </c>
      <c r="G360" s="35">
        <v>4</v>
      </c>
      <c r="H360" s="37">
        <v>8861</v>
      </c>
      <c r="I360" s="29">
        <v>7813</v>
      </c>
      <c r="J360" s="29">
        <v>6978.04</v>
      </c>
      <c r="K360" s="36">
        <v>437</v>
      </c>
      <c r="L360" s="29" t="s">
        <v>384</v>
      </c>
      <c r="M360" s="37">
        <v>2843360.39</v>
      </c>
      <c r="N360" s="29"/>
      <c r="O360" s="29"/>
      <c r="P360" s="29"/>
      <c r="Q360" s="37">
        <v>2843360.39</v>
      </c>
      <c r="R360" s="37">
        <f t="shared" si="24"/>
        <v>363.92683860232944</v>
      </c>
      <c r="S360" s="29">
        <v>14736.15</v>
      </c>
      <c r="T360" s="24" t="s">
        <v>1359</v>
      </c>
      <c r="U360" s="118">
        <v>6.3</v>
      </c>
      <c r="V360" s="296">
        <v>2018</v>
      </c>
    </row>
    <row r="361" spans="1:22" ht="45">
      <c r="A361" s="70">
        <v>287</v>
      </c>
      <c r="B361" s="99" t="s">
        <v>321</v>
      </c>
      <c r="C361" s="35">
        <v>1975</v>
      </c>
      <c r="D361" s="35"/>
      <c r="E361" s="29" t="s">
        <v>374</v>
      </c>
      <c r="F361" s="35">
        <v>3</v>
      </c>
      <c r="G361" s="35">
        <v>2</v>
      </c>
      <c r="H361" s="37">
        <v>1118.43</v>
      </c>
      <c r="I361" s="29">
        <v>1061.33</v>
      </c>
      <c r="J361" s="29">
        <v>743.03</v>
      </c>
      <c r="K361" s="36">
        <v>66</v>
      </c>
      <c r="L361" s="29" t="s">
        <v>497</v>
      </c>
      <c r="M361" s="37">
        <v>1646058.58</v>
      </c>
      <c r="N361" s="29"/>
      <c r="O361" s="29"/>
      <c r="P361" s="29"/>
      <c r="Q361" s="37">
        <v>1646058.58</v>
      </c>
      <c r="R361" s="37">
        <f t="shared" si="24"/>
        <v>1550.9394627495692</v>
      </c>
      <c r="S361" s="29">
        <v>14736.15</v>
      </c>
      <c r="T361" s="24" t="s">
        <v>1359</v>
      </c>
      <c r="U361" s="118">
        <v>6.3</v>
      </c>
      <c r="V361" s="296">
        <v>2018</v>
      </c>
    </row>
    <row r="362" spans="1:22" ht="45">
      <c r="A362" s="70">
        <v>288</v>
      </c>
      <c r="B362" s="99" t="s">
        <v>988</v>
      </c>
      <c r="C362" s="35">
        <v>1959</v>
      </c>
      <c r="D362" s="35">
        <v>2014</v>
      </c>
      <c r="E362" s="29" t="s">
        <v>374</v>
      </c>
      <c r="F362" s="35">
        <v>3</v>
      </c>
      <c r="G362" s="35">
        <v>2</v>
      </c>
      <c r="H362" s="37">
        <v>835.6</v>
      </c>
      <c r="I362" s="29">
        <v>737.6</v>
      </c>
      <c r="J362" s="29">
        <v>485.2</v>
      </c>
      <c r="K362" s="36">
        <v>70</v>
      </c>
      <c r="L362" s="29" t="s">
        <v>497</v>
      </c>
      <c r="M362" s="37">
        <v>1324464.43</v>
      </c>
      <c r="N362" s="29"/>
      <c r="O362" s="29"/>
      <c r="P362" s="29"/>
      <c r="Q362" s="37">
        <v>1324464.43</v>
      </c>
      <c r="R362" s="37">
        <f t="shared" si="24"/>
        <v>1795.6404962039044</v>
      </c>
      <c r="S362" s="29">
        <v>14736.15</v>
      </c>
      <c r="T362" s="24" t="s">
        <v>1359</v>
      </c>
      <c r="U362" s="118">
        <v>6.3</v>
      </c>
      <c r="V362" s="296">
        <v>2018</v>
      </c>
    </row>
    <row r="363" spans="1:22" ht="60">
      <c r="A363" s="70">
        <v>289</v>
      </c>
      <c r="B363" s="99" t="s">
        <v>989</v>
      </c>
      <c r="C363" s="35">
        <v>1973</v>
      </c>
      <c r="D363" s="99"/>
      <c r="E363" s="29" t="s">
        <v>374</v>
      </c>
      <c r="F363" s="35">
        <v>5</v>
      </c>
      <c r="G363" s="35">
        <v>6</v>
      </c>
      <c r="H363" s="37">
        <v>4858.5</v>
      </c>
      <c r="I363" s="29">
        <v>4391.9</v>
      </c>
      <c r="J363" s="29">
        <v>3647.6</v>
      </c>
      <c r="K363" s="36">
        <v>264</v>
      </c>
      <c r="L363" s="29" t="s">
        <v>990</v>
      </c>
      <c r="M363" s="37">
        <v>1789929.55</v>
      </c>
      <c r="N363" s="29"/>
      <c r="O363" s="29"/>
      <c r="P363" s="29"/>
      <c r="Q363" s="37">
        <v>1789929.55</v>
      </c>
      <c r="R363" s="37">
        <f t="shared" si="24"/>
        <v>407.552437441654</v>
      </c>
      <c r="S363" s="29">
        <v>14736.15</v>
      </c>
      <c r="T363" s="24" t="s">
        <v>1359</v>
      </c>
      <c r="U363" s="118">
        <v>6.3</v>
      </c>
      <c r="V363" s="296">
        <v>2018</v>
      </c>
    </row>
    <row r="364" spans="1:22" ht="45">
      <c r="A364" s="70">
        <v>290</v>
      </c>
      <c r="B364" s="99" t="s">
        <v>991</v>
      </c>
      <c r="C364" s="35">
        <v>1979</v>
      </c>
      <c r="D364" s="99"/>
      <c r="E364" s="76" t="s">
        <v>494</v>
      </c>
      <c r="F364" s="35">
        <v>9</v>
      </c>
      <c r="G364" s="35">
        <v>5</v>
      </c>
      <c r="H364" s="37">
        <v>11023.22</v>
      </c>
      <c r="I364" s="29">
        <v>9777.22</v>
      </c>
      <c r="J364" s="29">
        <v>8727.82</v>
      </c>
      <c r="K364" s="36">
        <v>507</v>
      </c>
      <c r="L364" s="29" t="s">
        <v>1396</v>
      </c>
      <c r="M364" s="37">
        <v>8141334.75</v>
      </c>
      <c r="N364" s="29"/>
      <c r="O364" s="29"/>
      <c r="P364" s="29"/>
      <c r="Q364" s="37">
        <v>8141334.75</v>
      </c>
      <c r="R364" s="37">
        <f t="shared" si="24"/>
        <v>832.684009360534</v>
      </c>
      <c r="S364" s="29">
        <v>14736.15</v>
      </c>
      <c r="T364" s="24" t="s">
        <v>1359</v>
      </c>
      <c r="U364" s="118">
        <v>6.3</v>
      </c>
      <c r="V364" s="296">
        <v>2018</v>
      </c>
    </row>
    <row r="365" spans="1:22" ht="45">
      <c r="A365" s="70">
        <v>291</v>
      </c>
      <c r="B365" s="99" t="s">
        <v>992</v>
      </c>
      <c r="C365" s="35">
        <v>1982</v>
      </c>
      <c r="D365" s="99"/>
      <c r="E365" s="76" t="s">
        <v>494</v>
      </c>
      <c r="F365" s="35">
        <v>9</v>
      </c>
      <c r="G365" s="35">
        <v>4</v>
      </c>
      <c r="H365" s="37">
        <v>8784</v>
      </c>
      <c r="I365" s="29">
        <v>7769.6</v>
      </c>
      <c r="J365" s="29">
        <v>7769.6</v>
      </c>
      <c r="K365" s="36">
        <v>356</v>
      </c>
      <c r="L365" s="24" t="s">
        <v>1396</v>
      </c>
      <c r="M365" s="37">
        <v>6549051.6</v>
      </c>
      <c r="N365" s="29"/>
      <c r="O365" s="29"/>
      <c r="P365" s="29"/>
      <c r="Q365" s="37">
        <v>6549051.6</v>
      </c>
      <c r="R365" s="37">
        <f t="shared" si="24"/>
        <v>842.9071766886325</v>
      </c>
      <c r="S365" s="29">
        <v>14736.15</v>
      </c>
      <c r="T365" s="24" t="s">
        <v>1359</v>
      </c>
      <c r="U365" s="118">
        <v>6.3</v>
      </c>
      <c r="V365" s="296">
        <v>2018</v>
      </c>
    </row>
    <row r="366" spans="1:22" ht="45">
      <c r="A366" s="70">
        <v>292</v>
      </c>
      <c r="B366" s="99" t="s">
        <v>993</v>
      </c>
      <c r="C366" s="35">
        <v>1963</v>
      </c>
      <c r="D366" s="99"/>
      <c r="E366" s="29" t="s">
        <v>374</v>
      </c>
      <c r="F366" s="35">
        <v>4</v>
      </c>
      <c r="G366" s="35">
        <v>2</v>
      </c>
      <c r="H366" s="37">
        <v>1912.8</v>
      </c>
      <c r="I366" s="29">
        <v>1431.4</v>
      </c>
      <c r="J366" s="29">
        <v>1389</v>
      </c>
      <c r="K366" s="36">
        <v>49</v>
      </c>
      <c r="L366" s="29" t="s">
        <v>497</v>
      </c>
      <c r="M366" s="37">
        <v>1290897.74</v>
      </c>
      <c r="N366" s="29"/>
      <c r="O366" s="29"/>
      <c r="P366" s="29"/>
      <c r="Q366" s="37">
        <v>1290897.74</v>
      </c>
      <c r="R366" s="37">
        <f t="shared" si="24"/>
        <v>901.8427693167528</v>
      </c>
      <c r="S366" s="29">
        <v>14736.15</v>
      </c>
      <c r="T366" s="24" t="s">
        <v>1359</v>
      </c>
      <c r="U366" s="118">
        <v>6.3</v>
      </c>
      <c r="V366" s="296">
        <v>2018</v>
      </c>
    </row>
    <row r="367" spans="1:22" ht="114" customHeight="1">
      <c r="A367" s="70">
        <v>293</v>
      </c>
      <c r="B367" s="99" t="s">
        <v>994</v>
      </c>
      <c r="C367" s="35">
        <v>1965</v>
      </c>
      <c r="D367" s="99"/>
      <c r="E367" s="29" t="s">
        <v>374</v>
      </c>
      <c r="F367" s="35">
        <v>5</v>
      </c>
      <c r="G367" s="35">
        <v>3</v>
      </c>
      <c r="H367" s="37">
        <v>2701</v>
      </c>
      <c r="I367" s="29">
        <v>2523.1</v>
      </c>
      <c r="J367" s="29">
        <v>2523.1</v>
      </c>
      <c r="K367" s="36">
        <v>114</v>
      </c>
      <c r="L367" s="29" t="s">
        <v>995</v>
      </c>
      <c r="M367" s="37">
        <v>3228033.46</v>
      </c>
      <c r="N367" s="29"/>
      <c r="O367" s="29"/>
      <c r="P367" s="29"/>
      <c r="Q367" s="37">
        <v>3228033.46</v>
      </c>
      <c r="R367" s="37">
        <f t="shared" si="24"/>
        <v>1279.3918037335025</v>
      </c>
      <c r="S367" s="29">
        <v>14736.15</v>
      </c>
      <c r="T367" s="24" t="s">
        <v>1359</v>
      </c>
      <c r="U367" s="118">
        <v>6.3</v>
      </c>
      <c r="V367" s="296">
        <v>2018</v>
      </c>
    </row>
    <row r="368" spans="1:22" ht="90">
      <c r="A368" s="70">
        <v>294</v>
      </c>
      <c r="B368" s="99" t="s">
        <v>996</v>
      </c>
      <c r="C368" s="35">
        <v>1980</v>
      </c>
      <c r="D368" s="99"/>
      <c r="E368" s="76" t="s">
        <v>494</v>
      </c>
      <c r="F368" s="35">
        <v>5</v>
      </c>
      <c r="G368" s="35">
        <v>3</v>
      </c>
      <c r="H368" s="37">
        <v>2525.3</v>
      </c>
      <c r="I368" s="29">
        <v>2260.6</v>
      </c>
      <c r="J368" s="29">
        <v>2260.6</v>
      </c>
      <c r="K368" s="36">
        <v>130</v>
      </c>
      <c r="L368" s="29" t="s">
        <v>99</v>
      </c>
      <c r="M368" s="37">
        <v>1870787.98</v>
      </c>
      <c r="N368" s="29"/>
      <c r="O368" s="29"/>
      <c r="P368" s="29"/>
      <c r="Q368" s="37">
        <v>1870787.98</v>
      </c>
      <c r="R368" s="37">
        <f t="shared" si="24"/>
        <v>827.5625851543838</v>
      </c>
      <c r="S368" s="29">
        <v>14736.15</v>
      </c>
      <c r="T368" s="24" t="s">
        <v>1359</v>
      </c>
      <c r="U368" s="118">
        <v>6.3</v>
      </c>
      <c r="V368" s="296">
        <v>2018</v>
      </c>
    </row>
    <row r="369" spans="1:22" ht="45">
      <c r="A369" s="70">
        <v>295</v>
      </c>
      <c r="B369" s="99" t="s">
        <v>997</v>
      </c>
      <c r="C369" s="35">
        <v>1976</v>
      </c>
      <c r="D369" s="99"/>
      <c r="E369" s="76" t="s">
        <v>494</v>
      </c>
      <c r="F369" s="35">
        <v>5</v>
      </c>
      <c r="G369" s="35">
        <v>4</v>
      </c>
      <c r="H369" s="37">
        <v>3374.7</v>
      </c>
      <c r="I369" s="29">
        <v>3030.7</v>
      </c>
      <c r="J369" s="29">
        <v>2699.6</v>
      </c>
      <c r="K369" s="36">
        <v>145</v>
      </c>
      <c r="L369" s="29" t="s">
        <v>384</v>
      </c>
      <c r="M369" s="37">
        <v>858655.12</v>
      </c>
      <c r="N369" s="29"/>
      <c r="O369" s="29"/>
      <c r="P369" s="29"/>
      <c r="Q369" s="37">
        <v>858655.12</v>
      </c>
      <c r="R369" s="37">
        <f t="shared" si="24"/>
        <v>283.31907480120105</v>
      </c>
      <c r="S369" s="29">
        <v>14736.15</v>
      </c>
      <c r="T369" s="24" t="s">
        <v>1359</v>
      </c>
      <c r="U369" s="118">
        <v>6.3</v>
      </c>
      <c r="V369" s="296">
        <v>2018</v>
      </c>
    </row>
    <row r="370" spans="1:22" ht="45">
      <c r="A370" s="70">
        <v>296</v>
      </c>
      <c r="B370" s="99" t="s">
        <v>998</v>
      </c>
      <c r="C370" s="35">
        <v>1975</v>
      </c>
      <c r="D370" s="99"/>
      <c r="E370" s="76" t="s">
        <v>494</v>
      </c>
      <c r="F370" s="35">
        <v>5</v>
      </c>
      <c r="G370" s="35">
        <v>4</v>
      </c>
      <c r="H370" s="37">
        <v>3432.2</v>
      </c>
      <c r="I370" s="29">
        <v>3036.6</v>
      </c>
      <c r="J370" s="29">
        <v>2898.4</v>
      </c>
      <c r="K370" s="36">
        <v>170</v>
      </c>
      <c r="L370" s="29" t="s">
        <v>384</v>
      </c>
      <c r="M370" s="37">
        <v>833984.75</v>
      </c>
      <c r="N370" s="29"/>
      <c r="O370" s="29"/>
      <c r="P370" s="29"/>
      <c r="Q370" s="37">
        <v>833984.75</v>
      </c>
      <c r="R370" s="37">
        <f t="shared" si="24"/>
        <v>274.6442567345057</v>
      </c>
      <c r="S370" s="29">
        <v>14736.15</v>
      </c>
      <c r="T370" s="24" t="s">
        <v>1359</v>
      </c>
      <c r="U370" s="118">
        <v>6.3</v>
      </c>
      <c r="V370" s="296">
        <v>2018</v>
      </c>
    </row>
    <row r="371" spans="1:22" ht="45">
      <c r="A371" s="70">
        <v>297</v>
      </c>
      <c r="B371" s="99" t="s">
        <v>334</v>
      </c>
      <c r="C371" s="35">
        <v>1979</v>
      </c>
      <c r="D371" s="99"/>
      <c r="E371" s="76" t="s">
        <v>494</v>
      </c>
      <c r="F371" s="35">
        <v>9</v>
      </c>
      <c r="G371" s="35">
        <v>4</v>
      </c>
      <c r="H371" s="37">
        <v>8871</v>
      </c>
      <c r="I371" s="29">
        <v>7874</v>
      </c>
      <c r="J371" s="29">
        <v>7076.19</v>
      </c>
      <c r="K371" s="36">
        <v>384</v>
      </c>
      <c r="L371" s="29" t="s">
        <v>1396</v>
      </c>
      <c r="M371" s="37">
        <v>3274525.8</v>
      </c>
      <c r="N371" s="29"/>
      <c r="O371" s="29"/>
      <c r="P371" s="29"/>
      <c r="Q371" s="37">
        <v>3274525.8</v>
      </c>
      <c r="R371" s="37">
        <f t="shared" si="24"/>
        <v>415.86560833121666</v>
      </c>
      <c r="S371" s="29">
        <v>14736.15</v>
      </c>
      <c r="T371" s="24" t="s">
        <v>1359</v>
      </c>
      <c r="U371" s="118">
        <v>6.3</v>
      </c>
      <c r="V371" s="296">
        <v>2018</v>
      </c>
    </row>
    <row r="372" spans="1:22" ht="45">
      <c r="A372" s="70">
        <v>298</v>
      </c>
      <c r="B372" s="99" t="s">
        <v>999</v>
      </c>
      <c r="C372" s="35">
        <v>1958</v>
      </c>
      <c r="D372" s="35">
        <v>2014</v>
      </c>
      <c r="E372" s="29" t="s">
        <v>374</v>
      </c>
      <c r="F372" s="35">
        <v>5</v>
      </c>
      <c r="G372" s="35">
        <v>1</v>
      </c>
      <c r="H372" s="37">
        <v>6135.570000000001</v>
      </c>
      <c r="I372" s="29">
        <v>5801.27</v>
      </c>
      <c r="J372" s="29">
        <v>3527.85</v>
      </c>
      <c r="K372" s="36">
        <v>383</v>
      </c>
      <c r="L372" s="29" t="s">
        <v>497</v>
      </c>
      <c r="M372" s="37">
        <v>3408319.79</v>
      </c>
      <c r="N372" s="29"/>
      <c r="O372" s="29"/>
      <c r="P372" s="29"/>
      <c r="Q372" s="37">
        <v>3408319.79</v>
      </c>
      <c r="R372" s="37">
        <f t="shared" si="24"/>
        <v>587.5126980816269</v>
      </c>
      <c r="S372" s="29">
        <v>14736.15</v>
      </c>
      <c r="T372" s="24" t="s">
        <v>1359</v>
      </c>
      <c r="U372" s="118">
        <v>6.3</v>
      </c>
      <c r="V372" s="296">
        <v>2018</v>
      </c>
    </row>
    <row r="373" spans="1:22" ht="45">
      <c r="A373" s="70">
        <v>299</v>
      </c>
      <c r="B373" s="99" t="s">
        <v>1000</v>
      </c>
      <c r="C373" s="35">
        <v>1976</v>
      </c>
      <c r="D373" s="35">
        <v>2015</v>
      </c>
      <c r="E373" s="76" t="s">
        <v>494</v>
      </c>
      <c r="F373" s="35">
        <v>5</v>
      </c>
      <c r="G373" s="35">
        <v>4</v>
      </c>
      <c r="H373" s="37">
        <v>3199.3</v>
      </c>
      <c r="I373" s="29">
        <v>3025.3</v>
      </c>
      <c r="J373" s="29">
        <v>2649.3</v>
      </c>
      <c r="K373" s="36">
        <v>170</v>
      </c>
      <c r="L373" s="29" t="s">
        <v>1001</v>
      </c>
      <c r="M373" s="37">
        <v>886812.51</v>
      </c>
      <c r="N373" s="29"/>
      <c r="O373" s="29"/>
      <c r="P373" s="29"/>
      <c r="Q373" s="37">
        <v>886812.51</v>
      </c>
      <c r="R373" s="37">
        <f t="shared" si="24"/>
        <v>293.1320893795656</v>
      </c>
      <c r="S373" s="29">
        <v>14736.15</v>
      </c>
      <c r="T373" s="24" t="s">
        <v>1359</v>
      </c>
      <c r="U373" s="118">
        <v>6.3</v>
      </c>
      <c r="V373" s="296">
        <v>2018</v>
      </c>
    </row>
    <row r="374" spans="1:22" ht="45">
      <c r="A374" s="70">
        <v>300</v>
      </c>
      <c r="B374" s="99" t="s">
        <v>1002</v>
      </c>
      <c r="C374" s="35">
        <v>1966</v>
      </c>
      <c r="D374" s="35"/>
      <c r="E374" s="29" t="s">
        <v>374</v>
      </c>
      <c r="F374" s="35">
        <v>5</v>
      </c>
      <c r="G374" s="35">
        <v>3</v>
      </c>
      <c r="H374" s="37">
        <v>3434.46</v>
      </c>
      <c r="I374" s="29">
        <v>2899.06</v>
      </c>
      <c r="J374" s="29">
        <v>2493.56</v>
      </c>
      <c r="K374" s="36">
        <v>226</v>
      </c>
      <c r="L374" s="29" t="s">
        <v>497</v>
      </c>
      <c r="M374" s="37">
        <v>2581794.35</v>
      </c>
      <c r="N374" s="29"/>
      <c r="O374" s="29"/>
      <c r="P374" s="29"/>
      <c r="Q374" s="37">
        <v>2581794.35</v>
      </c>
      <c r="R374" s="37">
        <f t="shared" si="24"/>
        <v>890.5625789048864</v>
      </c>
      <c r="S374" s="29">
        <v>14736.15</v>
      </c>
      <c r="T374" s="24" t="s">
        <v>1359</v>
      </c>
      <c r="U374" s="118">
        <v>6.3</v>
      </c>
      <c r="V374" s="296">
        <v>2018</v>
      </c>
    </row>
    <row r="375" spans="1:22" ht="45">
      <c r="A375" s="70">
        <v>301</v>
      </c>
      <c r="B375" s="99" t="s">
        <v>1003</v>
      </c>
      <c r="C375" s="35">
        <v>1956</v>
      </c>
      <c r="D375" s="35">
        <v>2014</v>
      </c>
      <c r="E375" s="29" t="s">
        <v>374</v>
      </c>
      <c r="F375" s="35">
        <v>3</v>
      </c>
      <c r="G375" s="35">
        <v>2</v>
      </c>
      <c r="H375" s="37">
        <v>1217.63</v>
      </c>
      <c r="I375" s="29">
        <v>1067.63</v>
      </c>
      <c r="J375" s="29">
        <v>775.61</v>
      </c>
      <c r="K375" s="36">
        <v>64</v>
      </c>
      <c r="L375" s="29" t="s">
        <v>497</v>
      </c>
      <c r="M375" s="37">
        <v>1770836.11</v>
      </c>
      <c r="N375" s="29"/>
      <c r="O375" s="29"/>
      <c r="P375" s="29"/>
      <c r="Q375" s="37">
        <v>1770836.11</v>
      </c>
      <c r="R375" s="37">
        <f t="shared" si="24"/>
        <v>1658.6608750222454</v>
      </c>
      <c r="S375" s="29">
        <v>14736.15</v>
      </c>
      <c r="T375" s="24" t="s">
        <v>1359</v>
      </c>
      <c r="U375" s="118">
        <v>6.3</v>
      </c>
      <c r="V375" s="296">
        <v>2018</v>
      </c>
    </row>
    <row r="376" spans="1:22" ht="90">
      <c r="A376" s="70">
        <v>302</v>
      </c>
      <c r="B376" s="99" t="s">
        <v>1004</v>
      </c>
      <c r="C376" s="35">
        <v>1960</v>
      </c>
      <c r="D376" s="35">
        <v>2016</v>
      </c>
      <c r="E376" s="29" t="s">
        <v>374</v>
      </c>
      <c r="F376" s="35">
        <v>6</v>
      </c>
      <c r="G376" s="35">
        <v>7</v>
      </c>
      <c r="H376" s="37">
        <v>11184.380000000001</v>
      </c>
      <c r="I376" s="29">
        <v>10186.78</v>
      </c>
      <c r="J376" s="29">
        <v>8276.78</v>
      </c>
      <c r="K376" s="36">
        <v>288</v>
      </c>
      <c r="L376" s="29" t="s">
        <v>1005</v>
      </c>
      <c r="M376" s="37">
        <v>5506822.3</v>
      </c>
      <c r="N376" s="29"/>
      <c r="O376" s="29"/>
      <c r="P376" s="29"/>
      <c r="Q376" s="37">
        <v>5506822.3</v>
      </c>
      <c r="R376" s="37">
        <f t="shared" si="24"/>
        <v>540.585180007814</v>
      </c>
      <c r="S376" s="29">
        <v>14736.15</v>
      </c>
      <c r="T376" s="24" t="s">
        <v>1359</v>
      </c>
      <c r="U376" s="118">
        <v>6.3</v>
      </c>
      <c r="V376" s="296">
        <v>2018</v>
      </c>
    </row>
    <row r="377" spans="1:22" ht="60">
      <c r="A377" s="70">
        <v>303</v>
      </c>
      <c r="B377" s="99" t="s">
        <v>1006</v>
      </c>
      <c r="C377" s="35">
        <v>1969</v>
      </c>
      <c r="D377" s="99"/>
      <c r="E377" s="76" t="s">
        <v>494</v>
      </c>
      <c r="F377" s="35">
        <v>5</v>
      </c>
      <c r="G377" s="35">
        <v>4</v>
      </c>
      <c r="H377" s="37">
        <v>3973.5</v>
      </c>
      <c r="I377" s="29">
        <v>3572.2</v>
      </c>
      <c r="J377" s="29">
        <v>3572.2</v>
      </c>
      <c r="K377" s="36">
        <v>199</v>
      </c>
      <c r="L377" s="29" t="s">
        <v>384</v>
      </c>
      <c r="M377" s="37">
        <v>1058282.39</v>
      </c>
      <c r="N377" s="29"/>
      <c r="O377" s="29"/>
      <c r="P377" s="29"/>
      <c r="Q377" s="37">
        <v>1058282.39</v>
      </c>
      <c r="R377" s="37">
        <f t="shared" si="24"/>
        <v>296.25507810312973</v>
      </c>
      <c r="S377" s="29">
        <v>14736.15</v>
      </c>
      <c r="T377" s="24" t="s">
        <v>1359</v>
      </c>
      <c r="U377" s="118">
        <v>6.3</v>
      </c>
      <c r="V377" s="296">
        <v>2018</v>
      </c>
    </row>
    <row r="378" spans="1:22" ht="45">
      <c r="A378" s="70">
        <v>304</v>
      </c>
      <c r="B378" s="99" t="s">
        <v>1007</v>
      </c>
      <c r="C378" s="35">
        <v>1959</v>
      </c>
      <c r="D378" s="35">
        <v>2014</v>
      </c>
      <c r="E378" s="29" t="s">
        <v>374</v>
      </c>
      <c r="F378" s="35">
        <v>5</v>
      </c>
      <c r="G378" s="35">
        <v>2</v>
      </c>
      <c r="H378" s="37">
        <v>1808.0300000000002</v>
      </c>
      <c r="I378" s="29">
        <v>1654.13</v>
      </c>
      <c r="J378" s="29">
        <v>1617.73</v>
      </c>
      <c r="K378" s="36">
        <v>75</v>
      </c>
      <c r="L378" s="29" t="s">
        <v>489</v>
      </c>
      <c r="M378" s="37">
        <v>1489152.67</v>
      </c>
      <c r="N378" s="29"/>
      <c r="O378" s="29"/>
      <c r="P378" s="29"/>
      <c r="Q378" s="37">
        <v>1489152.67</v>
      </c>
      <c r="R378" s="37">
        <f t="shared" si="24"/>
        <v>900.263383168191</v>
      </c>
      <c r="S378" s="29">
        <v>14736.15</v>
      </c>
      <c r="T378" s="24" t="s">
        <v>1359</v>
      </c>
      <c r="U378" s="118">
        <v>6.3</v>
      </c>
      <c r="V378" s="296">
        <v>2018</v>
      </c>
    </row>
    <row r="379" spans="1:22" ht="45">
      <c r="A379" s="70">
        <v>305</v>
      </c>
      <c r="B379" s="99" t="s">
        <v>1008</v>
      </c>
      <c r="C379" s="35">
        <v>1979</v>
      </c>
      <c r="D379" s="35">
        <v>2017</v>
      </c>
      <c r="E379" s="76" t="s">
        <v>494</v>
      </c>
      <c r="F379" s="35">
        <v>5</v>
      </c>
      <c r="G379" s="35">
        <v>4</v>
      </c>
      <c r="H379" s="37">
        <v>3334.5</v>
      </c>
      <c r="I379" s="29">
        <v>3066.7</v>
      </c>
      <c r="J379" s="29">
        <v>2966.6</v>
      </c>
      <c r="K379" s="36">
        <v>162</v>
      </c>
      <c r="L379" s="29" t="s">
        <v>384</v>
      </c>
      <c r="M379" s="37">
        <v>971442.45</v>
      </c>
      <c r="N379" s="29"/>
      <c r="O379" s="29"/>
      <c r="P379" s="29"/>
      <c r="Q379" s="37">
        <v>971442.45</v>
      </c>
      <c r="R379" s="37">
        <f t="shared" si="24"/>
        <v>316.77126879055663</v>
      </c>
      <c r="S379" s="29">
        <v>14736.15</v>
      </c>
      <c r="T379" s="24" t="s">
        <v>1359</v>
      </c>
      <c r="U379" s="118">
        <v>6.3</v>
      </c>
      <c r="V379" s="296">
        <v>2018</v>
      </c>
    </row>
    <row r="380" spans="1:22" ht="45">
      <c r="A380" s="70">
        <v>306</v>
      </c>
      <c r="B380" s="99" t="s">
        <v>1009</v>
      </c>
      <c r="C380" s="35">
        <v>1973</v>
      </c>
      <c r="D380" s="35"/>
      <c r="E380" s="29" t="s">
        <v>374</v>
      </c>
      <c r="F380" s="35">
        <v>9</v>
      </c>
      <c r="G380" s="35">
        <v>2</v>
      </c>
      <c r="H380" s="37">
        <v>5093.7</v>
      </c>
      <c r="I380" s="29">
        <v>4471.3</v>
      </c>
      <c r="J380" s="29">
        <v>4471.3</v>
      </c>
      <c r="K380" s="36">
        <v>212</v>
      </c>
      <c r="L380" s="29" t="s">
        <v>704</v>
      </c>
      <c r="M380" s="37">
        <v>676515.36</v>
      </c>
      <c r="N380" s="29"/>
      <c r="O380" s="29"/>
      <c r="P380" s="29"/>
      <c r="Q380" s="37">
        <v>676515.36</v>
      </c>
      <c r="R380" s="37">
        <f t="shared" si="24"/>
        <v>151.3017153847874</v>
      </c>
      <c r="S380" s="29">
        <v>14736.15</v>
      </c>
      <c r="T380" s="24" t="s">
        <v>1359</v>
      </c>
      <c r="U380" s="118">
        <v>6.3</v>
      </c>
      <c r="V380" s="296">
        <v>2018</v>
      </c>
    </row>
    <row r="381" spans="1:22" ht="45">
      <c r="A381" s="70">
        <v>307</v>
      </c>
      <c r="B381" s="99" t="s">
        <v>0</v>
      </c>
      <c r="C381" s="35">
        <v>1985</v>
      </c>
      <c r="D381" s="35"/>
      <c r="E381" s="29" t="s">
        <v>374</v>
      </c>
      <c r="F381" s="35">
        <v>15</v>
      </c>
      <c r="G381" s="35">
        <v>1</v>
      </c>
      <c r="H381" s="37">
        <v>5820</v>
      </c>
      <c r="I381" s="29">
        <v>5092</v>
      </c>
      <c r="J381" s="29">
        <v>4733.8</v>
      </c>
      <c r="K381" s="36">
        <v>187</v>
      </c>
      <c r="L381" s="29" t="s">
        <v>1396</v>
      </c>
      <c r="M381" s="37">
        <v>4902193.02</v>
      </c>
      <c r="N381" s="29"/>
      <c r="O381" s="29"/>
      <c r="P381" s="29"/>
      <c r="Q381" s="37">
        <v>4902193.02</v>
      </c>
      <c r="R381" s="37">
        <f t="shared" si="24"/>
        <v>962.7244736842105</v>
      </c>
      <c r="S381" s="29">
        <v>14736.15</v>
      </c>
      <c r="T381" s="24" t="s">
        <v>1359</v>
      </c>
      <c r="U381" s="118">
        <v>6.3</v>
      </c>
      <c r="V381" s="296">
        <v>2018</v>
      </c>
    </row>
    <row r="382" spans="1:22" ht="35.25" customHeight="1">
      <c r="A382" s="70">
        <v>308</v>
      </c>
      <c r="B382" s="99" t="s">
        <v>1</v>
      </c>
      <c r="C382" s="35">
        <v>1972</v>
      </c>
      <c r="D382" s="99"/>
      <c r="E382" s="29" t="s">
        <v>374</v>
      </c>
      <c r="F382" s="35">
        <v>5</v>
      </c>
      <c r="G382" s="35">
        <v>4</v>
      </c>
      <c r="H382" s="37">
        <v>4479.8</v>
      </c>
      <c r="I382" s="29">
        <v>3922.8</v>
      </c>
      <c r="J382" s="29">
        <v>3166.2</v>
      </c>
      <c r="K382" s="36">
        <v>165</v>
      </c>
      <c r="L382" s="29" t="s">
        <v>2</v>
      </c>
      <c r="M382" s="37">
        <v>682804.05</v>
      </c>
      <c r="N382" s="29"/>
      <c r="O382" s="29"/>
      <c r="P382" s="29"/>
      <c r="Q382" s="37">
        <v>682804.05</v>
      </c>
      <c r="R382" s="37">
        <f t="shared" si="24"/>
        <v>174.06037779137353</v>
      </c>
      <c r="S382" s="29">
        <v>14736.15</v>
      </c>
      <c r="T382" s="24" t="s">
        <v>1359</v>
      </c>
      <c r="U382" s="118">
        <v>6.3</v>
      </c>
      <c r="V382" s="296">
        <v>2018</v>
      </c>
    </row>
    <row r="383" spans="1:22" ht="135">
      <c r="A383" s="70">
        <v>309</v>
      </c>
      <c r="B383" s="99" t="s">
        <v>3</v>
      </c>
      <c r="C383" s="35">
        <v>1960</v>
      </c>
      <c r="D383" s="99"/>
      <c r="E383" s="29" t="s">
        <v>374</v>
      </c>
      <c r="F383" s="35">
        <v>4</v>
      </c>
      <c r="G383" s="35">
        <v>3</v>
      </c>
      <c r="H383" s="29">
        <v>2294.3</v>
      </c>
      <c r="I383" s="29">
        <v>2007.1</v>
      </c>
      <c r="J383" s="29">
        <v>1697.2</v>
      </c>
      <c r="K383" s="36">
        <v>94</v>
      </c>
      <c r="L383" s="29" t="s">
        <v>229</v>
      </c>
      <c r="M383" s="37">
        <v>1384463.72</v>
      </c>
      <c r="N383" s="29"/>
      <c r="O383" s="29"/>
      <c r="P383" s="29"/>
      <c r="Q383" s="37">
        <v>1384463.72</v>
      </c>
      <c r="R383" s="37">
        <f t="shared" si="24"/>
        <v>689.7831298888945</v>
      </c>
      <c r="S383" s="29">
        <v>14736.15</v>
      </c>
      <c r="T383" s="24" t="s">
        <v>1359</v>
      </c>
      <c r="U383" s="118">
        <v>6.3</v>
      </c>
      <c r="V383" s="296">
        <v>2018</v>
      </c>
    </row>
    <row r="384" spans="1:22" ht="45">
      <c r="A384" s="70">
        <v>310</v>
      </c>
      <c r="B384" s="99" t="s">
        <v>909</v>
      </c>
      <c r="C384" s="35">
        <v>1971</v>
      </c>
      <c r="D384" s="99"/>
      <c r="E384" s="29" t="s">
        <v>374</v>
      </c>
      <c r="F384" s="35">
        <v>5</v>
      </c>
      <c r="G384" s="35">
        <v>4</v>
      </c>
      <c r="H384" s="37">
        <v>3602.1</v>
      </c>
      <c r="I384" s="29">
        <v>3321.6</v>
      </c>
      <c r="J384" s="29">
        <v>3134.2</v>
      </c>
      <c r="K384" s="36">
        <v>170</v>
      </c>
      <c r="L384" s="29" t="s">
        <v>489</v>
      </c>
      <c r="M384" s="37">
        <v>2763605.61</v>
      </c>
      <c r="N384" s="29"/>
      <c r="O384" s="29"/>
      <c r="P384" s="29"/>
      <c r="Q384" s="37">
        <v>2763605.61</v>
      </c>
      <c r="R384" s="37">
        <f t="shared" si="24"/>
        <v>832.010359465318</v>
      </c>
      <c r="S384" s="29">
        <v>14736.15</v>
      </c>
      <c r="T384" s="24" t="s">
        <v>1359</v>
      </c>
      <c r="U384" s="118">
        <v>6.3</v>
      </c>
      <c r="V384" s="296">
        <v>2018</v>
      </c>
    </row>
    <row r="385" spans="1:22" ht="120">
      <c r="A385" s="70">
        <v>311</v>
      </c>
      <c r="B385" s="99" t="s">
        <v>910</v>
      </c>
      <c r="C385" s="35">
        <v>1956</v>
      </c>
      <c r="D385" s="99"/>
      <c r="E385" s="29" t="s">
        <v>374</v>
      </c>
      <c r="F385" s="35">
        <v>3</v>
      </c>
      <c r="G385" s="35">
        <v>2</v>
      </c>
      <c r="H385" s="37">
        <v>1215.8</v>
      </c>
      <c r="I385" s="29">
        <v>1090.8</v>
      </c>
      <c r="J385" s="29">
        <v>874</v>
      </c>
      <c r="K385" s="36">
        <v>57</v>
      </c>
      <c r="L385" s="125" t="s">
        <v>911</v>
      </c>
      <c r="M385" s="37">
        <v>3034822.31</v>
      </c>
      <c r="N385" s="29"/>
      <c r="O385" s="29"/>
      <c r="P385" s="29"/>
      <c r="Q385" s="37">
        <v>3034822.31</v>
      </c>
      <c r="R385" s="37">
        <f t="shared" si="24"/>
        <v>2782.1986707004035</v>
      </c>
      <c r="S385" s="29">
        <v>14736.15</v>
      </c>
      <c r="T385" s="24" t="s">
        <v>1359</v>
      </c>
      <c r="U385" s="118">
        <v>6.3</v>
      </c>
      <c r="V385" s="296">
        <v>2018</v>
      </c>
    </row>
    <row r="386" spans="1:22" ht="37.5" customHeight="1">
      <c r="A386" s="70">
        <v>312</v>
      </c>
      <c r="B386" s="99" t="s">
        <v>1423</v>
      </c>
      <c r="C386" s="35">
        <v>1972</v>
      </c>
      <c r="D386" s="35">
        <v>2012</v>
      </c>
      <c r="E386" s="76" t="s">
        <v>494</v>
      </c>
      <c r="F386" s="35">
        <v>9</v>
      </c>
      <c r="G386" s="35">
        <v>2</v>
      </c>
      <c r="H386" s="37">
        <v>4376.4</v>
      </c>
      <c r="I386" s="37">
        <v>3910.4</v>
      </c>
      <c r="J386" s="37">
        <v>3857.4</v>
      </c>
      <c r="K386" s="36">
        <v>214</v>
      </c>
      <c r="L386" s="29" t="s">
        <v>384</v>
      </c>
      <c r="M386" s="37">
        <v>1675045.79</v>
      </c>
      <c r="N386" s="37"/>
      <c r="O386" s="37"/>
      <c r="P386" s="37"/>
      <c r="Q386" s="37">
        <v>1675045.79</v>
      </c>
      <c r="R386" s="37">
        <f t="shared" si="24"/>
        <v>428.3566361497545</v>
      </c>
      <c r="S386" s="29">
        <v>14736.15</v>
      </c>
      <c r="T386" s="24" t="s">
        <v>1359</v>
      </c>
      <c r="U386" s="118">
        <v>6.3</v>
      </c>
      <c r="V386" s="296">
        <v>2018</v>
      </c>
    </row>
    <row r="387" spans="1:22" ht="30">
      <c r="A387" s="70">
        <v>313</v>
      </c>
      <c r="B387" s="99" t="s">
        <v>1263</v>
      </c>
      <c r="C387" s="35">
        <v>1991</v>
      </c>
      <c r="D387" s="29"/>
      <c r="E387" s="29" t="s">
        <v>494</v>
      </c>
      <c r="F387" s="35">
        <v>9</v>
      </c>
      <c r="G387" s="35">
        <v>4</v>
      </c>
      <c r="H387" s="29">
        <v>8791.94</v>
      </c>
      <c r="I387" s="29">
        <v>7711.94</v>
      </c>
      <c r="J387" s="29">
        <v>7168.32</v>
      </c>
      <c r="K387" s="36">
        <v>412</v>
      </c>
      <c r="L387" s="29" t="s">
        <v>489</v>
      </c>
      <c r="M387" s="37">
        <v>1426445.91</v>
      </c>
      <c r="N387" s="29"/>
      <c r="O387" s="29"/>
      <c r="P387" s="29"/>
      <c r="Q387" s="37">
        <v>1426445.91</v>
      </c>
      <c r="R387" s="37">
        <f aca="true" t="shared" si="25" ref="R387:R395">M387/I387</f>
        <v>184.96589833427126</v>
      </c>
      <c r="S387" s="29">
        <v>14736.15</v>
      </c>
      <c r="T387" s="24" t="s">
        <v>1418</v>
      </c>
      <c r="U387" s="118">
        <v>1426445.91</v>
      </c>
      <c r="V387" s="296">
        <v>2018</v>
      </c>
    </row>
    <row r="388" spans="1:22" ht="45">
      <c r="A388" s="70">
        <v>314</v>
      </c>
      <c r="B388" s="99" t="s">
        <v>1173</v>
      </c>
      <c r="C388" s="35">
        <v>1991</v>
      </c>
      <c r="D388" s="29"/>
      <c r="E388" s="29" t="s">
        <v>1264</v>
      </c>
      <c r="F388" s="35">
        <v>18</v>
      </c>
      <c r="G388" s="35">
        <v>1</v>
      </c>
      <c r="H388" s="29">
        <v>7071.69</v>
      </c>
      <c r="I388" s="29">
        <v>5927.5</v>
      </c>
      <c r="J388" s="29">
        <v>5739.2</v>
      </c>
      <c r="K388" s="36">
        <v>269</v>
      </c>
      <c r="L388" s="29" t="s">
        <v>658</v>
      </c>
      <c r="M388" s="29">
        <v>1506745.95</v>
      </c>
      <c r="N388" s="29"/>
      <c r="O388" s="29"/>
      <c r="P388" s="29"/>
      <c r="Q388" s="29">
        <v>1506745.95</v>
      </c>
      <c r="R388" s="37">
        <f t="shared" si="25"/>
        <v>254.19585828764232</v>
      </c>
      <c r="S388" s="29">
        <v>14736.15</v>
      </c>
      <c r="T388" s="24" t="s">
        <v>1418</v>
      </c>
      <c r="U388" s="118">
        <v>1506745.95</v>
      </c>
      <c r="V388" s="296">
        <v>2018</v>
      </c>
    </row>
    <row r="389" spans="1:22" ht="30">
      <c r="A389" s="70">
        <v>315</v>
      </c>
      <c r="B389" s="99" t="s">
        <v>1478</v>
      </c>
      <c r="C389" s="35">
        <v>1973</v>
      </c>
      <c r="D389" s="29"/>
      <c r="E389" s="29" t="s">
        <v>374</v>
      </c>
      <c r="F389" s="35">
        <v>5</v>
      </c>
      <c r="G389" s="35">
        <v>4</v>
      </c>
      <c r="H389" s="29">
        <v>3501.7</v>
      </c>
      <c r="I389" s="29">
        <v>3080.6</v>
      </c>
      <c r="J389" s="29">
        <v>2657.6</v>
      </c>
      <c r="K389" s="36">
        <v>186</v>
      </c>
      <c r="L389" s="29" t="s">
        <v>489</v>
      </c>
      <c r="M389" s="29">
        <v>850901.34</v>
      </c>
      <c r="N389" s="29"/>
      <c r="O389" s="29"/>
      <c r="P389" s="29"/>
      <c r="Q389" s="29">
        <v>850901.34</v>
      </c>
      <c r="R389" s="37">
        <f t="shared" si="25"/>
        <v>276.2128611309485</v>
      </c>
      <c r="S389" s="29">
        <v>14736.15</v>
      </c>
      <c r="T389" s="24" t="s">
        <v>1418</v>
      </c>
      <c r="U389" s="83">
        <v>850901.34</v>
      </c>
      <c r="V389" s="296">
        <v>2018</v>
      </c>
    </row>
    <row r="390" spans="1:22" ht="45">
      <c r="A390" s="70">
        <v>316</v>
      </c>
      <c r="B390" s="99" t="s">
        <v>1174</v>
      </c>
      <c r="C390" s="35">
        <v>1989</v>
      </c>
      <c r="D390" s="29"/>
      <c r="E390" s="29" t="s">
        <v>494</v>
      </c>
      <c r="F390" s="35">
        <v>10</v>
      </c>
      <c r="G390" s="35">
        <v>7</v>
      </c>
      <c r="H390" s="29">
        <v>17289.3</v>
      </c>
      <c r="I390" s="29">
        <v>15091.3</v>
      </c>
      <c r="J390" s="29">
        <v>14153.2</v>
      </c>
      <c r="K390" s="36">
        <v>791</v>
      </c>
      <c r="L390" s="29" t="s">
        <v>721</v>
      </c>
      <c r="M390" s="37">
        <v>3111419.72</v>
      </c>
      <c r="N390" s="29"/>
      <c r="O390" s="29"/>
      <c r="P390" s="29"/>
      <c r="Q390" s="37">
        <v>3111419.72</v>
      </c>
      <c r="R390" s="37">
        <f t="shared" si="25"/>
        <v>206.17307455288812</v>
      </c>
      <c r="S390" s="29">
        <v>14736.15</v>
      </c>
      <c r="T390" s="24" t="s">
        <v>1418</v>
      </c>
      <c r="U390" s="118">
        <v>3111419.72</v>
      </c>
      <c r="V390" s="296">
        <v>2018</v>
      </c>
    </row>
    <row r="391" spans="1:22" ht="45">
      <c r="A391" s="70">
        <v>317</v>
      </c>
      <c r="B391" s="99" t="s">
        <v>1175</v>
      </c>
      <c r="C391" s="35">
        <v>1989</v>
      </c>
      <c r="D391" s="29"/>
      <c r="E391" s="29" t="s">
        <v>494</v>
      </c>
      <c r="F391" s="35">
        <v>9</v>
      </c>
      <c r="G391" s="35">
        <v>10</v>
      </c>
      <c r="H391" s="29">
        <v>22723.67</v>
      </c>
      <c r="I391" s="29">
        <v>19886.87</v>
      </c>
      <c r="J391" s="29">
        <v>18820.33</v>
      </c>
      <c r="K391" s="36">
        <v>1058</v>
      </c>
      <c r="L391" s="29" t="s">
        <v>1522</v>
      </c>
      <c r="M391" s="37">
        <v>4065054</v>
      </c>
      <c r="N391" s="29"/>
      <c r="O391" s="29"/>
      <c r="P391" s="29"/>
      <c r="Q391" s="37">
        <v>4065054</v>
      </c>
      <c r="R391" s="37">
        <f t="shared" si="25"/>
        <v>204.40893916438336</v>
      </c>
      <c r="S391" s="29">
        <v>14736.15</v>
      </c>
      <c r="T391" s="24" t="s">
        <v>1418</v>
      </c>
      <c r="U391" s="118">
        <v>4065054</v>
      </c>
      <c r="V391" s="296">
        <v>2018</v>
      </c>
    </row>
    <row r="392" spans="1:22" ht="75">
      <c r="A392" s="70">
        <v>318</v>
      </c>
      <c r="B392" s="99" t="s">
        <v>1479</v>
      </c>
      <c r="C392" s="35">
        <v>1989</v>
      </c>
      <c r="D392" s="35"/>
      <c r="E392" s="35" t="s">
        <v>494</v>
      </c>
      <c r="F392" s="35" t="s">
        <v>1265</v>
      </c>
      <c r="G392" s="35">
        <v>8</v>
      </c>
      <c r="H392" s="29">
        <v>17562.2</v>
      </c>
      <c r="I392" s="29">
        <v>15292.8</v>
      </c>
      <c r="J392" s="29">
        <v>14894.3</v>
      </c>
      <c r="K392" s="36">
        <v>811</v>
      </c>
      <c r="L392" s="35" t="s">
        <v>850</v>
      </c>
      <c r="M392" s="37">
        <v>3188000</v>
      </c>
      <c r="N392" s="35"/>
      <c r="O392" s="35"/>
      <c r="P392" s="35"/>
      <c r="Q392" s="37">
        <v>3188000</v>
      </c>
      <c r="R392" s="37">
        <f t="shared" si="25"/>
        <v>208.4641138313455</v>
      </c>
      <c r="S392" s="29">
        <v>14736.15</v>
      </c>
      <c r="T392" s="24" t="s">
        <v>1418</v>
      </c>
      <c r="U392" s="118">
        <v>3188000</v>
      </c>
      <c r="V392" s="296">
        <v>2018</v>
      </c>
    </row>
    <row r="393" spans="1:22" ht="34.5" customHeight="1">
      <c r="A393" s="70">
        <v>319</v>
      </c>
      <c r="B393" s="99" t="s">
        <v>1480</v>
      </c>
      <c r="C393" s="35">
        <v>1989</v>
      </c>
      <c r="D393" s="35"/>
      <c r="E393" s="35" t="s">
        <v>494</v>
      </c>
      <c r="F393" s="35" t="s">
        <v>1266</v>
      </c>
      <c r="G393" s="35">
        <v>6</v>
      </c>
      <c r="H393" s="29">
        <v>12126.02</v>
      </c>
      <c r="I393" s="29">
        <v>10687.62</v>
      </c>
      <c r="J393" s="35">
        <v>10500.81</v>
      </c>
      <c r="K393" s="36">
        <v>556</v>
      </c>
      <c r="L393" s="35" t="s">
        <v>489</v>
      </c>
      <c r="M393" s="37">
        <v>2458000</v>
      </c>
      <c r="N393" s="35"/>
      <c r="O393" s="35"/>
      <c r="P393" s="35"/>
      <c r="Q393" s="37">
        <v>2458000</v>
      </c>
      <c r="R393" s="37">
        <f t="shared" si="25"/>
        <v>229.98572179774354</v>
      </c>
      <c r="S393" s="29">
        <v>14736.15</v>
      </c>
      <c r="T393" s="24" t="s">
        <v>1418</v>
      </c>
      <c r="U393" s="118">
        <v>2458000</v>
      </c>
      <c r="V393" s="296">
        <v>2018</v>
      </c>
    </row>
    <row r="394" spans="1:22" ht="45">
      <c r="A394" s="70">
        <v>320</v>
      </c>
      <c r="B394" s="99" t="s">
        <v>1481</v>
      </c>
      <c r="C394" s="35">
        <v>1989</v>
      </c>
      <c r="D394" s="29"/>
      <c r="E394" s="29" t="s">
        <v>374</v>
      </c>
      <c r="F394" s="35">
        <v>9</v>
      </c>
      <c r="G394" s="35">
        <v>6</v>
      </c>
      <c r="H394" s="29">
        <v>15178.7</v>
      </c>
      <c r="I394" s="29">
        <v>13765.4</v>
      </c>
      <c r="J394" s="29">
        <v>12176.2</v>
      </c>
      <c r="K394" s="36">
        <v>622</v>
      </c>
      <c r="L394" s="29" t="s">
        <v>489</v>
      </c>
      <c r="M394" s="37">
        <v>2943000</v>
      </c>
      <c r="N394" s="29"/>
      <c r="O394" s="29"/>
      <c r="P394" s="29"/>
      <c r="Q394" s="37">
        <v>2943000</v>
      </c>
      <c r="R394" s="29">
        <f t="shared" si="25"/>
        <v>213.7969110959362</v>
      </c>
      <c r="S394" s="29">
        <v>14736.15</v>
      </c>
      <c r="T394" s="24" t="s">
        <v>1418</v>
      </c>
      <c r="U394" s="118">
        <v>2943000</v>
      </c>
      <c r="V394" s="296">
        <v>2018</v>
      </c>
    </row>
    <row r="395" spans="1:22" ht="30">
      <c r="A395" s="70">
        <v>321</v>
      </c>
      <c r="B395" s="99" t="s">
        <v>1482</v>
      </c>
      <c r="C395" s="35">
        <v>1988</v>
      </c>
      <c r="D395" s="29"/>
      <c r="E395" s="29" t="s">
        <v>374</v>
      </c>
      <c r="F395" s="35">
        <v>9</v>
      </c>
      <c r="G395" s="35">
        <v>1</v>
      </c>
      <c r="H395" s="29">
        <v>5916</v>
      </c>
      <c r="I395" s="29">
        <v>4966.1</v>
      </c>
      <c r="J395" s="29">
        <v>4966.1</v>
      </c>
      <c r="K395" s="36">
        <v>200</v>
      </c>
      <c r="L395" s="29" t="s">
        <v>1069</v>
      </c>
      <c r="M395" s="37">
        <v>1052000</v>
      </c>
      <c r="N395" s="29"/>
      <c r="O395" s="29"/>
      <c r="P395" s="29"/>
      <c r="Q395" s="37">
        <v>1052000</v>
      </c>
      <c r="R395" s="29">
        <f t="shared" si="25"/>
        <v>211.83624977346406</v>
      </c>
      <c r="S395" s="29">
        <v>14736.15</v>
      </c>
      <c r="T395" s="24" t="s">
        <v>1418</v>
      </c>
      <c r="U395" s="118">
        <v>1052000</v>
      </c>
      <c r="V395" s="296">
        <v>2018</v>
      </c>
    </row>
    <row r="396" spans="1:22" ht="15">
      <c r="A396" s="70"/>
      <c r="B396" s="112" t="s">
        <v>1269</v>
      </c>
      <c r="C396" s="99"/>
      <c r="D396" s="99"/>
      <c r="E396" s="29"/>
      <c r="F396" s="99"/>
      <c r="G396" s="99"/>
      <c r="H396" s="81">
        <f>SUM(H257:H395)</f>
        <v>510113.3199999999</v>
      </c>
      <c r="I396" s="81">
        <f aca="true" t="shared" si="26" ref="I396:Q396">SUM(I257:I395)</f>
        <v>442572.40999999974</v>
      </c>
      <c r="J396" s="81">
        <f t="shared" si="26"/>
        <v>395820.1700000001</v>
      </c>
      <c r="K396" s="98">
        <f t="shared" si="26"/>
        <v>22929</v>
      </c>
      <c r="L396" s="81"/>
      <c r="M396" s="81">
        <f t="shared" si="26"/>
        <v>390794987.2200004</v>
      </c>
      <c r="N396" s="81"/>
      <c r="O396" s="81"/>
      <c r="P396" s="81"/>
      <c r="Q396" s="81">
        <f t="shared" si="26"/>
        <v>390794987.2200004</v>
      </c>
      <c r="R396" s="81">
        <f t="shared" si="24"/>
        <v>883.0080194560719</v>
      </c>
      <c r="S396" s="81"/>
      <c r="T396" s="81"/>
      <c r="U396" s="118"/>
      <c r="V396" s="296"/>
    </row>
    <row r="397" spans="1:22" ht="15.75">
      <c r="A397" s="126"/>
      <c r="B397" s="127" t="s">
        <v>957</v>
      </c>
      <c r="C397" s="99"/>
      <c r="D397" s="99"/>
      <c r="E397" s="29"/>
      <c r="F397" s="99"/>
      <c r="G397" s="99"/>
      <c r="H397" s="81">
        <f>H31+H42+H46+H50+H59+H63+H70+H75+H84+H94+H99+H106+H119+H144+H147+H150+H164+H160+H170+H183+H215+H244+H255+H396</f>
        <v>810579.4039999999</v>
      </c>
      <c r="I397" s="81">
        <f>I31+I42+I46+I50+I59+I63+I70+I75+I84+I94+I99+I106+I119+I144+I147+I150+I164+I160+I170+I183+I215+I244+I255+I396</f>
        <v>725604.8399999997</v>
      </c>
      <c r="J397" s="81">
        <f>J31+J42+J46+J50+J59+J63+J70+J75+J84+J94+J99+J106+J119+J144+J147+J150+J164+J160+J170+J183+J215+J244+J255+J396</f>
        <v>610319.55</v>
      </c>
      <c r="K397" s="98">
        <f>K31+K42+K46+K50+K59+K63+K70+K75+K84+K94+K99+K106+K119+K144+K147+K150+K164+K160+K170+K183+K215+K244+K255+K396</f>
        <v>36421</v>
      </c>
      <c r="L397" s="81"/>
      <c r="M397" s="81">
        <f>M31+M42+M46+M50+M59+M63+M70+M75+M84+M94+M99+M106+M119+M144+M147+M150+M164+M160+M170+M183+M215+M244+M255+M396</f>
        <v>714841502.9173005</v>
      </c>
      <c r="N397" s="81"/>
      <c r="O397" s="81"/>
      <c r="P397" s="81"/>
      <c r="Q397" s="81">
        <f>Q31+Q42+Q46+Q50+Q59+Q63+Q70+Q75+Q84+Q94+Q99+Q106+Q119+Q144+Q147+Q150+Q164+Q160+Q170+Q183+Q215+Q244+Q255+Q396</f>
        <v>714841502.9173005</v>
      </c>
      <c r="R397" s="81"/>
      <c r="S397" s="99"/>
      <c r="T397" s="99"/>
      <c r="U397" s="118"/>
      <c r="V397" s="296"/>
    </row>
    <row r="398" spans="1:22" ht="15">
      <c r="A398" s="300" t="s">
        <v>1154</v>
      </c>
      <c r="B398" s="301"/>
      <c r="C398" s="301"/>
      <c r="D398" s="301"/>
      <c r="E398" s="301"/>
      <c r="F398" s="301"/>
      <c r="G398" s="301"/>
      <c r="H398" s="301"/>
      <c r="I398" s="301"/>
      <c r="J398" s="301"/>
      <c r="K398" s="301"/>
      <c r="L398" s="301"/>
      <c r="M398" s="301"/>
      <c r="N398" s="301"/>
      <c r="O398" s="301"/>
      <c r="P398" s="301"/>
      <c r="Q398" s="302"/>
      <c r="R398" s="301"/>
      <c r="S398" s="301"/>
      <c r="T398" s="301"/>
      <c r="U398" s="303"/>
      <c r="V398" s="296"/>
    </row>
    <row r="399" spans="1:22" ht="15">
      <c r="A399" s="300" t="s">
        <v>1368</v>
      </c>
      <c r="B399" s="301"/>
      <c r="C399" s="301"/>
      <c r="D399" s="301"/>
      <c r="E399" s="301"/>
      <c r="F399" s="301"/>
      <c r="G399" s="301"/>
      <c r="H399" s="301"/>
      <c r="I399" s="301"/>
      <c r="J399" s="301"/>
      <c r="K399" s="301"/>
      <c r="L399" s="301"/>
      <c r="M399" s="301"/>
      <c r="N399" s="301"/>
      <c r="O399" s="301"/>
      <c r="P399" s="301"/>
      <c r="Q399" s="302"/>
      <c r="R399" s="301"/>
      <c r="S399" s="301"/>
      <c r="T399" s="301"/>
      <c r="U399" s="303"/>
      <c r="V399" s="296"/>
    </row>
    <row r="400" spans="1:22" ht="45">
      <c r="A400" s="70">
        <v>1</v>
      </c>
      <c r="B400" s="128" t="s">
        <v>21</v>
      </c>
      <c r="C400" s="62">
        <v>1980</v>
      </c>
      <c r="D400" s="62">
        <v>2014</v>
      </c>
      <c r="E400" s="62" t="s">
        <v>374</v>
      </c>
      <c r="F400" s="62">
        <v>2</v>
      </c>
      <c r="G400" s="62">
        <v>3</v>
      </c>
      <c r="H400" s="63">
        <v>1435.3</v>
      </c>
      <c r="I400" s="63">
        <v>842.9</v>
      </c>
      <c r="J400" s="63">
        <v>721.4</v>
      </c>
      <c r="K400" s="267">
        <v>58</v>
      </c>
      <c r="L400" s="62" t="s">
        <v>489</v>
      </c>
      <c r="M400" s="37">
        <v>1156231.56</v>
      </c>
      <c r="N400" s="63"/>
      <c r="O400" s="63"/>
      <c r="P400" s="63"/>
      <c r="Q400" s="37">
        <v>1156231.56</v>
      </c>
      <c r="R400" s="37">
        <f>M400/I400</f>
        <v>1371.7304069284614</v>
      </c>
      <c r="S400" s="29">
        <v>14736.15</v>
      </c>
      <c r="T400" s="24" t="s">
        <v>1359</v>
      </c>
      <c r="U400" s="118">
        <v>6.3</v>
      </c>
      <c r="V400" s="296">
        <v>2019</v>
      </c>
    </row>
    <row r="401" spans="1:22" ht="45">
      <c r="A401" s="70">
        <v>2</v>
      </c>
      <c r="B401" s="128" t="s">
        <v>22</v>
      </c>
      <c r="C401" s="62">
        <v>1978</v>
      </c>
      <c r="D401" s="62"/>
      <c r="E401" s="62" t="s">
        <v>374</v>
      </c>
      <c r="F401" s="62">
        <v>2</v>
      </c>
      <c r="G401" s="62">
        <v>1</v>
      </c>
      <c r="H401" s="63">
        <v>489.4</v>
      </c>
      <c r="I401" s="63">
        <v>380.1</v>
      </c>
      <c r="J401" s="63">
        <v>156.5</v>
      </c>
      <c r="K401" s="267">
        <v>47</v>
      </c>
      <c r="L401" s="62" t="s">
        <v>489</v>
      </c>
      <c r="M401" s="37">
        <v>1016176.38</v>
      </c>
      <c r="N401" s="63"/>
      <c r="O401" s="63"/>
      <c r="P401" s="63"/>
      <c r="Q401" s="37">
        <v>1016176.38</v>
      </c>
      <c r="R401" s="37">
        <f>M401/I401</f>
        <v>2673.4448303078134</v>
      </c>
      <c r="S401" s="29">
        <v>14736.15</v>
      </c>
      <c r="T401" s="24" t="s">
        <v>1359</v>
      </c>
      <c r="U401" s="118">
        <v>6.3</v>
      </c>
      <c r="V401" s="296">
        <v>2019</v>
      </c>
    </row>
    <row r="402" spans="1:22" ht="45">
      <c r="A402" s="70">
        <v>3</v>
      </c>
      <c r="B402" s="128" t="s">
        <v>109</v>
      </c>
      <c r="C402" s="62">
        <v>1990</v>
      </c>
      <c r="D402" s="62"/>
      <c r="E402" s="62" t="s">
        <v>374</v>
      </c>
      <c r="F402" s="62">
        <v>3</v>
      </c>
      <c r="G402" s="62">
        <v>3</v>
      </c>
      <c r="H402" s="62">
        <v>2583.89</v>
      </c>
      <c r="I402" s="62">
        <v>1683.65</v>
      </c>
      <c r="J402" s="62">
        <v>1524.65</v>
      </c>
      <c r="K402" s="267">
        <v>86</v>
      </c>
      <c r="L402" s="62" t="s">
        <v>489</v>
      </c>
      <c r="M402" s="37">
        <v>1456378.92</v>
      </c>
      <c r="N402" s="63"/>
      <c r="O402" s="63"/>
      <c r="P402" s="63"/>
      <c r="Q402" s="37">
        <v>1456378.92</v>
      </c>
      <c r="R402" s="37">
        <f>M402/I402</f>
        <v>865.0128708460784</v>
      </c>
      <c r="S402" s="29">
        <v>14736.15</v>
      </c>
      <c r="T402" s="24" t="s">
        <v>1359</v>
      </c>
      <c r="U402" s="118">
        <v>6.3</v>
      </c>
      <c r="V402" s="296">
        <v>2019</v>
      </c>
    </row>
    <row r="403" spans="1:22" ht="15">
      <c r="A403" s="129"/>
      <c r="B403" s="130" t="s">
        <v>490</v>
      </c>
      <c r="C403" s="131"/>
      <c r="D403" s="131"/>
      <c r="E403" s="131"/>
      <c r="F403" s="131"/>
      <c r="G403" s="131"/>
      <c r="H403" s="81">
        <f>SUM(H400:H402)</f>
        <v>4508.59</v>
      </c>
      <c r="I403" s="81">
        <f>SUM(I400:I402)</f>
        <v>2906.65</v>
      </c>
      <c r="J403" s="81">
        <f>SUM(J400:J402)</f>
        <v>2402.55</v>
      </c>
      <c r="K403" s="98">
        <f>SUM(K400:K402)</f>
        <v>191</v>
      </c>
      <c r="L403" s="81"/>
      <c r="M403" s="81">
        <f>SUM(M400:M402)</f>
        <v>3628786.86</v>
      </c>
      <c r="N403" s="81"/>
      <c r="O403" s="81"/>
      <c r="P403" s="81"/>
      <c r="Q403" s="81">
        <f>SUM(Q400:Q402)</f>
        <v>3628786.86</v>
      </c>
      <c r="R403" s="81">
        <f>M403/I403</f>
        <v>1248.4430048337433</v>
      </c>
      <c r="S403" s="131"/>
      <c r="T403" s="131"/>
      <c r="U403" s="132"/>
      <c r="V403" s="296"/>
    </row>
    <row r="404" spans="1:22" ht="15">
      <c r="A404" s="300" t="s">
        <v>383</v>
      </c>
      <c r="B404" s="301"/>
      <c r="C404" s="301"/>
      <c r="D404" s="301"/>
      <c r="E404" s="301"/>
      <c r="F404" s="301"/>
      <c r="G404" s="301"/>
      <c r="H404" s="301"/>
      <c r="I404" s="301"/>
      <c r="J404" s="301"/>
      <c r="K404" s="301"/>
      <c r="L404" s="301"/>
      <c r="M404" s="301"/>
      <c r="N404" s="301"/>
      <c r="O404" s="301"/>
      <c r="P404" s="301"/>
      <c r="Q404" s="302"/>
      <c r="R404" s="301"/>
      <c r="S404" s="301"/>
      <c r="T404" s="301"/>
      <c r="U404" s="303"/>
      <c r="V404" s="296"/>
    </row>
    <row r="405" spans="1:22" ht="45">
      <c r="A405" s="70">
        <v>4</v>
      </c>
      <c r="B405" s="128" t="s">
        <v>840</v>
      </c>
      <c r="C405" s="24">
        <v>1978</v>
      </c>
      <c r="D405" s="31"/>
      <c r="E405" s="24" t="s">
        <v>374</v>
      </c>
      <c r="F405" s="31">
        <v>2</v>
      </c>
      <c r="G405" s="31">
        <v>3</v>
      </c>
      <c r="H405" s="37">
        <v>966.2</v>
      </c>
      <c r="I405" s="37">
        <v>922.2</v>
      </c>
      <c r="J405" s="37">
        <v>880.3</v>
      </c>
      <c r="K405" s="36">
        <v>29</v>
      </c>
      <c r="L405" s="37" t="s">
        <v>489</v>
      </c>
      <c r="M405" s="37">
        <v>2300018.73</v>
      </c>
      <c r="N405" s="133"/>
      <c r="O405" s="133"/>
      <c r="P405" s="133"/>
      <c r="Q405" s="37">
        <v>2300018.73</v>
      </c>
      <c r="R405" s="133">
        <v>2053.27</v>
      </c>
      <c r="S405" s="29">
        <v>14736.15</v>
      </c>
      <c r="T405" s="24" t="s">
        <v>1359</v>
      </c>
      <c r="U405" s="118">
        <v>6.3</v>
      </c>
      <c r="V405" s="296">
        <v>2019</v>
      </c>
    </row>
    <row r="406" spans="1:22" ht="45">
      <c r="A406" s="70">
        <v>5</v>
      </c>
      <c r="B406" s="128" t="s">
        <v>576</v>
      </c>
      <c r="C406" s="24">
        <v>1980</v>
      </c>
      <c r="D406" s="31"/>
      <c r="E406" s="24" t="s">
        <v>494</v>
      </c>
      <c r="F406" s="31">
        <v>2</v>
      </c>
      <c r="G406" s="31">
        <v>3</v>
      </c>
      <c r="H406" s="37">
        <v>970.4</v>
      </c>
      <c r="I406" s="37">
        <v>889.1</v>
      </c>
      <c r="J406" s="37">
        <v>872.4</v>
      </c>
      <c r="K406" s="36">
        <v>19</v>
      </c>
      <c r="L406" s="37" t="s">
        <v>489</v>
      </c>
      <c r="M406" s="37">
        <v>2159699.36</v>
      </c>
      <c r="N406" s="133"/>
      <c r="O406" s="133"/>
      <c r="P406" s="133"/>
      <c r="Q406" s="37">
        <v>2159699.36</v>
      </c>
      <c r="R406" s="133">
        <v>2044.38</v>
      </c>
      <c r="S406" s="29">
        <v>14736.15</v>
      </c>
      <c r="T406" s="24" t="s">
        <v>1359</v>
      </c>
      <c r="U406" s="118">
        <v>6.3</v>
      </c>
      <c r="V406" s="296">
        <v>2019</v>
      </c>
    </row>
    <row r="407" spans="1:22" ht="15">
      <c r="A407" s="129"/>
      <c r="B407" s="134" t="s">
        <v>491</v>
      </c>
      <c r="C407" s="31"/>
      <c r="D407" s="31"/>
      <c r="E407" s="31"/>
      <c r="F407" s="31"/>
      <c r="G407" s="31"/>
      <c r="H407" s="81">
        <f>SUM(H405:H406)</f>
        <v>1936.6</v>
      </c>
      <c r="I407" s="81">
        <f aca="true" t="shared" si="27" ref="I407:Q407">SUM(I405:I406)</f>
        <v>1811.3000000000002</v>
      </c>
      <c r="J407" s="81">
        <f t="shared" si="27"/>
        <v>1752.6999999999998</v>
      </c>
      <c r="K407" s="98">
        <f t="shared" si="27"/>
        <v>48</v>
      </c>
      <c r="L407" s="135"/>
      <c r="M407" s="135">
        <f t="shared" si="27"/>
        <v>4459718.09</v>
      </c>
      <c r="N407" s="135"/>
      <c r="O407" s="135"/>
      <c r="P407" s="135"/>
      <c r="Q407" s="135">
        <f t="shared" si="27"/>
        <v>4459718.09</v>
      </c>
      <c r="R407" s="135">
        <f>M407/I407</f>
        <v>2462.1642411527628</v>
      </c>
      <c r="S407" s="131"/>
      <c r="T407" s="136"/>
      <c r="U407" s="118"/>
      <c r="V407" s="296"/>
    </row>
    <row r="408" spans="1:22" ht="15">
      <c r="A408" s="300" t="s">
        <v>1665</v>
      </c>
      <c r="B408" s="301"/>
      <c r="C408" s="301"/>
      <c r="D408" s="301"/>
      <c r="E408" s="301"/>
      <c r="F408" s="301"/>
      <c r="G408" s="301"/>
      <c r="H408" s="301"/>
      <c r="I408" s="301"/>
      <c r="J408" s="301"/>
      <c r="K408" s="301"/>
      <c r="L408" s="301"/>
      <c r="M408" s="301"/>
      <c r="N408" s="301"/>
      <c r="O408" s="301"/>
      <c r="P408" s="301"/>
      <c r="Q408" s="302"/>
      <c r="R408" s="301"/>
      <c r="S408" s="301"/>
      <c r="T408" s="301"/>
      <c r="U408" s="303"/>
      <c r="V408" s="296"/>
    </row>
    <row r="409" spans="1:22" ht="45">
      <c r="A409" s="70">
        <v>6</v>
      </c>
      <c r="B409" s="137" t="s">
        <v>1017</v>
      </c>
      <c r="C409" s="138">
        <v>1960</v>
      </c>
      <c r="D409" s="138">
        <v>2015</v>
      </c>
      <c r="E409" s="37" t="s">
        <v>374</v>
      </c>
      <c r="F409" s="36">
        <v>2</v>
      </c>
      <c r="G409" s="36">
        <v>2</v>
      </c>
      <c r="H409" s="37">
        <v>710</v>
      </c>
      <c r="I409" s="37">
        <v>611.1</v>
      </c>
      <c r="J409" s="37">
        <v>470.83</v>
      </c>
      <c r="K409" s="36">
        <v>27</v>
      </c>
      <c r="L409" s="37" t="s">
        <v>489</v>
      </c>
      <c r="M409" s="37">
        <v>2029479.98</v>
      </c>
      <c r="N409" s="133"/>
      <c r="O409" s="133"/>
      <c r="P409" s="133"/>
      <c r="Q409" s="37">
        <v>2029479.98</v>
      </c>
      <c r="R409" s="37">
        <f aca="true" t="shared" si="28" ref="R409:R415">M409/I409</f>
        <v>3321.0276223204055</v>
      </c>
      <c r="S409" s="131">
        <v>14736.15</v>
      </c>
      <c r="T409" s="29" t="s">
        <v>1359</v>
      </c>
      <c r="U409" s="118">
        <v>6.3</v>
      </c>
      <c r="V409" s="296">
        <v>2019</v>
      </c>
    </row>
    <row r="410" spans="1:22" ht="45">
      <c r="A410" s="70">
        <v>7</v>
      </c>
      <c r="B410" s="139" t="s">
        <v>577</v>
      </c>
      <c r="C410" s="138">
        <v>1962</v>
      </c>
      <c r="D410" s="138">
        <v>2015</v>
      </c>
      <c r="E410" s="37" t="s">
        <v>374</v>
      </c>
      <c r="F410" s="36">
        <v>3</v>
      </c>
      <c r="G410" s="36">
        <v>2</v>
      </c>
      <c r="H410" s="37">
        <v>1034.06</v>
      </c>
      <c r="I410" s="37">
        <v>961.16</v>
      </c>
      <c r="J410" s="37">
        <v>961.16</v>
      </c>
      <c r="K410" s="36">
        <v>40</v>
      </c>
      <c r="L410" s="37" t="s">
        <v>489</v>
      </c>
      <c r="M410" s="37">
        <v>1548131.08</v>
      </c>
      <c r="N410" s="133"/>
      <c r="O410" s="133"/>
      <c r="P410" s="133"/>
      <c r="Q410" s="37">
        <v>1548131.08</v>
      </c>
      <c r="R410" s="37">
        <f t="shared" si="28"/>
        <v>1610.6902908984978</v>
      </c>
      <c r="S410" s="131">
        <v>14736.15</v>
      </c>
      <c r="T410" s="29" t="s">
        <v>1359</v>
      </c>
      <c r="U410" s="118">
        <v>6.3</v>
      </c>
      <c r="V410" s="296">
        <v>2019</v>
      </c>
    </row>
    <row r="411" spans="1:22" ht="75">
      <c r="A411" s="70">
        <v>8</v>
      </c>
      <c r="B411" s="137" t="s">
        <v>25</v>
      </c>
      <c r="C411" s="138">
        <v>1975</v>
      </c>
      <c r="D411" s="138">
        <v>2015</v>
      </c>
      <c r="E411" s="37" t="s">
        <v>1015</v>
      </c>
      <c r="F411" s="36">
        <v>3</v>
      </c>
      <c r="G411" s="36">
        <v>2</v>
      </c>
      <c r="H411" s="37">
        <v>1173.71</v>
      </c>
      <c r="I411" s="37">
        <v>1090.81</v>
      </c>
      <c r="J411" s="37">
        <v>955.18</v>
      </c>
      <c r="K411" s="36">
        <v>55</v>
      </c>
      <c r="L411" s="37" t="s">
        <v>287</v>
      </c>
      <c r="M411" s="37">
        <v>1604215.93</v>
      </c>
      <c r="N411" s="133"/>
      <c r="O411" s="133"/>
      <c r="P411" s="133"/>
      <c r="Q411" s="37">
        <v>1604215.93</v>
      </c>
      <c r="R411" s="37">
        <f t="shared" si="28"/>
        <v>1470.6648545576222</v>
      </c>
      <c r="S411" s="131">
        <v>14736.15</v>
      </c>
      <c r="T411" s="29" t="s">
        <v>1359</v>
      </c>
      <c r="U411" s="118">
        <v>6.3</v>
      </c>
      <c r="V411" s="296">
        <v>2019</v>
      </c>
    </row>
    <row r="412" spans="1:22" ht="45">
      <c r="A412" s="70">
        <v>9</v>
      </c>
      <c r="B412" s="137" t="s">
        <v>578</v>
      </c>
      <c r="C412" s="138">
        <v>1964</v>
      </c>
      <c r="D412" s="138">
        <v>2016</v>
      </c>
      <c r="E412" s="37" t="s">
        <v>374</v>
      </c>
      <c r="F412" s="36">
        <v>2</v>
      </c>
      <c r="G412" s="36">
        <v>3</v>
      </c>
      <c r="H412" s="37">
        <v>569.25</v>
      </c>
      <c r="I412" s="37">
        <v>525.25</v>
      </c>
      <c r="J412" s="37">
        <v>484.2</v>
      </c>
      <c r="K412" s="36">
        <v>25</v>
      </c>
      <c r="L412" s="37" t="s">
        <v>489</v>
      </c>
      <c r="M412" s="37">
        <v>1460020.65</v>
      </c>
      <c r="N412" s="133"/>
      <c r="O412" s="133"/>
      <c r="P412" s="133"/>
      <c r="Q412" s="37">
        <v>1460020.65</v>
      </c>
      <c r="R412" s="37">
        <f t="shared" si="28"/>
        <v>2779.6680628272247</v>
      </c>
      <c r="S412" s="131">
        <v>14736.15</v>
      </c>
      <c r="T412" s="29" t="s">
        <v>1359</v>
      </c>
      <c r="U412" s="118">
        <v>6.3</v>
      </c>
      <c r="V412" s="296">
        <v>2019</v>
      </c>
    </row>
    <row r="413" spans="1:22" ht="45">
      <c r="A413" s="70">
        <v>10</v>
      </c>
      <c r="B413" s="140" t="s">
        <v>26</v>
      </c>
      <c r="C413" s="138">
        <v>1974</v>
      </c>
      <c r="D413" s="138">
        <v>2010</v>
      </c>
      <c r="E413" s="37" t="s">
        <v>374</v>
      </c>
      <c r="F413" s="36">
        <v>2</v>
      </c>
      <c r="G413" s="36">
        <v>3</v>
      </c>
      <c r="H413" s="37">
        <v>916.09</v>
      </c>
      <c r="I413" s="37">
        <v>867.1</v>
      </c>
      <c r="J413" s="37">
        <v>867.1</v>
      </c>
      <c r="K413" s="36">
        <v>38</v>
      </c>
      <c r="L413" s="37" t="s">
        <v>1016</v>
      </c>
      <c r="M413" s="37">
        <v>506693.2</v>
      </c>
      <c r="N413" s="133"/>
      <c r="O413" s="133"/>
      <c r="P413" s="133"/>
      <c r="Q413" s="37">
        <v>506693.2</v>
      </c>
      <c r="R413" s="37">
        <f>M413/I413</f>
        <v>584.3538230884558</v>
      </c>
      <c r="S413" s="131">
        <v>14736.15</v>
      </c>
      <c r="T413" s="29" t="s">
        <v>1359</v>
      </c>
      <c r="U413" s="118">
        <v>6.3</v>
      </c>
      <c r="V413" s="296">
        <v>2019</v>
      </c>
    </row>
    <row r="414" spans="1:22" ht="45">
      <c r="A414" s="70">
        <v>11</v>
      </c>
      <c r="B414" s="140" t="s">
        <v>1483</v>
      </c>
      <c r="C414" s="24">
        <v>1993</v>
      </c>
      <c r="D414" s="24"/>
      <c r="E414" s="37" t="s">
        <v>374</v>
      </c>
      <c r="F414" s="24">
        <v>2</v>
      </c>
      <c r="G414" s="24">
        <v>3</v>
      </c>
      <c r="H414" s="37">
        <v>1280.76</v>
      </c>
      <c r="I414" s="37">
        <v>1064.04</v>
      </c>
      <c r="J414" s="37">
        <v>1064.04</v>
      </c>
      <c r="K414" s="36">
        <v>110</v>
      </c>
      <c r="L414" s="37" t="s">
        <v>489</v>
      </c>
      <c r="M414" s="89">
        <v>3106581.76</v>
      </c>
      <c r="N414" s="89"/>
      <c r="O414" s="89"/>
      <c r="P414" s="89"/>
      <c r="Q414" s="89">
        <v>3106581.76</v>
      </c>
      <c r="R414" s="37">
        <f>M414/I414</f>
        <v>2919.6099394759594</v>
      </c>
      <c r="S414" s="131">
        <v>14736.15</v>
      </c>
      <c r="T414" s="29" t="s">
        <v>1359</v>
      </c>
      <c r="U414" s="118">
        <v>6.3</v>
      </c>
      <c r="V414" s="296">
        <v>2019</v>
      </c>
    </row>
    <row r="415" spans="1:22" ht="15">
      <c r="A415" s="141"/>
      <c r="B415" s="134" t="s">
        <v>837</v>
      </c>
      <c r="C415" s="133"/>
      <c r="D415" s="133"/>
      <c r="E415" s="133"/>
      <c r="F415" s="133"/>
      <c r="G415" s="133"/>
      <c r="H415" s="81">
        <f>SUM(H409:H414)</f>
        <v>5683.87</v>
      </c>
      <c r="I415" s="81">
        <f aca="true" t="shared" si="29" ref="I415:Q415">SUM(I409:I414)</f>
        <v>5119.459999999999</v>
      </c>
      <c r="J415" s="81">
        <f t="shared" si="29"/>
        <v>4802.51</v>
      </c>
      <c r="K415" s="98">
        <f t="shared" si="29"/>
        <v>295</v>
      </c>
      <c r="L415" s="81"/>
      <c r="M415" s="81">
        <f t="shared" si="29"/>
        <v>10255122.600000001</v>
      </c>
      <c r="N415" s="81"/>
      <c r="O415" s="81"/>
      <c r="P415" s="81"/>
      <c r="Q415" s="81">
        <f t="shared" si="29"/>
        <v>10255122.600000001</v>
      </c>
      <c r="R415" s="81">
        <f t="shared" si="28"/>
        <v>2003.164904110981</v>
      </c>
      <c r="S415" s="131"/>
      <c r="T415" s="131"/>
      <c r="U415" s="142"/>
      <c r="V415" s="296"/>
    </row>
    <row r="416" spans="1:22" ht="15">
      <c r="A416" s="300" t="s">
        <v>1367</v>
      </c>
      <c r="B416" s="301"/>
      <c r="C416" s="301"/>
      <c r="D416" s="301"/>
      <c r="E416" s="301"/>
      <c r="F416" s="301"/>
      <c r="G416" s="301"/>
      <c r="H416" s="301"/>
      <c r="I416" s="301"/>
      <c r="J416" s="301"/>
      <c r="K416" s="301"/>
      <c r="L416" s="301"/>
      <c r="M416" s="301"/>
      <c r="N416" s="301"/>
      <c r="O416" s="301"/>
      <c r="P416" s="301"/>
      <c r="Q416" s="302"/>
      <c r="R416" s="301"/>
      <c r="S416" s="301"/>
      <c r="T416" s="301"/>
      <c r="U416" s="303"/>
      <c r="V416" s="296"/>
    </row>
    <row r="417" spans="1:22" ht="45">
      <c r="A417" s="70">
        <v>12</v>
      </c>
      <c r="B417" s="107" t="s">
        <v>633</v>
      </c>
      <c r="C417" s="31">
        <v>1995</v>
      </c>
      <c r="D417" s="143"/>
      <c r="E417" s="28" t="s">
        <v>374</v>
      </c>
      <c r="F417" s="27">
        <v>5</v>
      </c>
      <c r="G417" s="27">
        <v>4</v>
      </c>
      <c r="H417" s="28">
        <v>3435</v>
      </c>
      <c r="I417" s="28">
        <v>3435</v>
      </c>
      <c r="J417" s="28">
        <v>3227.18</v>
      </c>
      <c r="K417" s="186">
        <v>139</v>
      </c>
      <c r="L417" s="28" t="s">
        <v>489</v>
      </c>
      <c r="M417" s="28">
        <v>1612655.99</v>
      </c>
      <c r="N417" s="144"/>
      <c r="O417" s="144"/>
      <c r="P417" s="144"/>
      <c r="Q417" s="28">
        <v>1612655.99</v>
      </c>
      <c r="R417" s="144">
        <f>M417/I417</f>
        <v>469.47772634643377</v>
      </c>
      <c r="S417" s="145">
        <v>14736.15</v>
      </c>
      <c r="T417" s="27" t="s">
        <v>1359</v>
      </c>
      <c r="U417" s="146">
        <v>6.3</v>
      </c>
      <c r="V417" s="296">
        <v>2019</v>
      </c>
    </row>
    <row r="418" spans="1:22" ht="75">
      <c r="A418" s="147">
        <v>13</v>
      </c>
      <c r="B418" s="148" t="s">
        <v>634</v>
      </c>
      <c r="C418" s="149">
        <v>1989</v>
      </c>
      <c r="D418" s="32"/>
      <c r="E418" s="37" t="s">
        <v>374</v>
      </c>
      <c r="F418" s="24">
        <v>5</v>
      </c>
      <c r="G418" s="24">
        <v>2</v>
      </c>
      <c r="H418" s="37">
        <v>1227.46</v>
      </c>
      <c r="I418" s="37">
        <v>1227.46</v>
      </c>
      <c r="J418" s="37">
        <v>1177.86</v>
      </c>
      <c r="K418" s="36">
        <v>67</v>
      </c>
      <c r="L418" s="37" t="s">
        <v>324</v>
      </c>
      <c r="M418" s="37">
        <v>2641882.22</v>
      </c>
      <c r="N418" s="133"/>
      <c r="O418" s="133"/>
      <c r="P418" s="133"/>
      <c r="Q418" s="37">
        <v>2641882.22</v>
      </c>
      <c r="R418" s="133">
        <f>M418/I418</f>
        <v>2152.3163443207927</v>
      </c>
      <c r="S418" s="131">
        <v>14736.15</v>
      </c>
      <c r="T418" s="24" t="s">
        <v>1359</v>
      </c>
      <c r="U418" s="118">
        <v>6.3</v>
      </c>
      <c r="V418" s="296">
        <v>2019</v>
      </c>
    </row>
    <row r="419" spans="1:22" ht="45">
      <c r="A419" s="70">
        <v>14</v>
      </c>
      <c r="B419" s="107" t="s">
        <v>635</v>
      </c>
      <c r="C419" s="31">
        <v>1988</v>
      </c>
      <c r="D419" s="143"/>
      <c r="E419" s="28" t="s">
        <v>374</v>
      </c>
      <c r="F419" s="27">
        <v>2</v>
      </c>
      <c r="G419" s="27">
        <v>3</v>
      </c>
      <c r="H419" s="28">
        <v>834.88</v>
      </c>
      <c r="I419" s="28">
        <v>834.88</v>
      </c>
      <c r="J419" s="28">
        <v>834.88</v>
      </c>
      <c r="K419" s="186">
        <v>50</v>
      </c>
      <c r="L419" s="28" t="s">
        <v>489</v>
      </c>
      <c r="M419" s="28">
        <v>1817629.47</v>
      </c>
      <c r="N419" s="144"/>
      <c r="O419" s="144"/>
      <c r="P419" s="144"/>
      <c r="Q419" s="28">
        <v>1817629.47</v>
      </c>
      <c r="R419" s="144">
        <f>M419/I419</f>
        <v>2177.11463922959</v>
      </c>
      <c r="S419" s="145">
        <v>14736.15</v>
      </c>
      <c r="T419" s="27" t="s">
        <v>1359</v>
      </c>
      <c r="U419" s="146">
        <v>6.3</v>
      </c>
      <c r="V419" s="296">
        <v>2019</v>
      </c>
    </row>
    <row r="420" spans="1:22" ht="15">
      <c r="A420" s="150"/>
      <c r="B420" s="134" t="s">
        <v>490</v>
      </c>
      <c r="C420" s="130"/>
      <c r="D420" s="130"/>
      <c r="E420" s="130"/>
      <c r="F420" s="130"/>
      <c r="G420" s="130"/>
      <c r="H420" s="135">
        <f>SUM(H417:H419)</f>
        <v>5497.34</v>
      </c>
      <c r="I420" s="135">
        <f>SUM(I417:I419)</f>
        <v>5497.34</v>
      </c>
      <c r="J420" s="135">
        <f>SUM(J417:J419)</f>
        <v>5239.92</v>
      </c>
      <c r="K420" s="98">
        <f>SUM(K417:K419)</f>
        <v>256</v>
      </c>
      <c r="L420" s="130"/>
      <c r="M420" s="81">
        <f>SUM(M417:M419)</f>
        <v>6072167.68</v>
      </c>
      <c r="N420" s="133"/>
      <c r="O420" s="133"/>
      <c r="P420" s="133"/>
      <c r="Q420" s="135">
        <f>SUM(Q417:Q419)</f>
        <v>6072167.68</v>
      </c>
      <c r="R420" s="135">
        <f>M420/I420</f>
        <v>1104.5646949251818</v>
      </c>
      <c r="S420" s="134"/>
      <c r="T420" s="134"/>
      <c r="U420" s="151"/>
      <c r="V420" s="296"/>
    </row>
    <row r="421" spans="1:22" ht="15">
      <c r="A421" s="300" t="s">
        <v>376</v>
      </c>
      <c r="B421" s="301"/>
      <c r="C421" s="301"/>
      <c r="D421" s="301"/>
      <c r="E421" s="301"/>
      <c r="F421" s="301"/>
      <c r="G421" s="301"/>
      <c r="H421" s="301"/>
      <c r="I421" s="301"/>
      <c r="J421" s="301"/>
      <c r="K421" s="301"/>
      <c r="L421" s="301"/>
      <c r="M421" s="301"/>
      <c r="N421" s="301"/>
      <c r="O421" s="301"/>
      <c r="P421" s="301"/>
      <c r="Q421" s="302"/>
      <c r="R421" s="301"/>
      <c r="S421" s="301"/>
      <c r="T421" s="301"/>
      <c r="U421" s="303"/>
      <c r="V421" s="296"/>
    </row>
    <row r="422" spans="1:22" ht="45">
      <c r="A422" s="70">
        <v>15</v>
      </c>
      <c r="B422" s="128" t="s">
        <v>636</v>
      </c>
      <c r="C422" s="24">
        <v>1974</v>
      </c>
      <c r="D422" s="31"/>
      <c r="E422" s="24" t="s">
        <v>374</v>
      </c>
      <c r="F422" s="24">
        <v>2</v>
      </c>
      <c r="G422" s="24">
        <v>1</v>
      </c>
      <c r="H422" s="37">
        <v>380.06</v>
      </c>
      <c r="I422" s="37">
        <v>376.99</v>
      </c>
      <c r="J422" s="37">
        <v>376.99</v>
      </c>
      <c r="K422" s="36">
        <v>25</v>
      </c>
      <c r="L422" s="62" t="s">
        <v>152</v>
      </c>
      <c r="M422" s="37">
        <v>785333.42</v>
      </c>
      <c r="N422" s="133"/>
      <c r="O422" s="133"/>
      <c r="P422" s="133"/>
      <c r="Q422" s="37">
        <v>785333.42</v>
      </c>
      <c r="R422" s="29">
        <f>M422/I422</f>
        <v>2083.1677763335897</v>
      </c>
      <c r="S422" s="131">
        <v>14736.15</v>
      </c>
      <c r="T422" s="24" t="s">
        <v>1359</v>
      </c>
      <c r="U422" s="118">
        <v>6.3</v>
      </c>
      <c r="V422" s="296">
        <v>2019</v>
      </c>
    </row>
    <row r="423" spans="1:22" ht="45">
      <c r="A423" s="70">
        <v>16</v>
      </c>
      <c r="B423" s="128" t="s">
        <v>151</v>
      </c>
      <c r="C423" s="24">
        <v>1979</v>
      </c>
      <c r="D423" s="31"/>
      <c r="E423" s="24" t="s">
        <v>374</v>
      </c>
      <c r="F423" s="24">
        <v>2</v>
      </c>
      <c r="G423" s="24">
        <v>3</v>
      </c>
      <c r="H423" s="37">
        <v>833.06</v>
      </c>
      <c r="I423" s="37">
        <v>486.56</v>
      </c>
      <c r="J423" s="37">
        <v>486.56</v>
      </c>
      <c r="K423" s="36">
        <v>54</v>
      </c>
      <c r="L423" s="62" t="s">
        <v>72</v>
      </c>
      <c r="M423" s="37">
        <v>327733.17</v>
      </c>
      <c r="N423" s="133"/>
      <c r="O423" s="133"/>
      <c r="P423" s="133"/>
      <c r="Q423" s="37">
        <v>327733.17</v>
      </c>
      <c r="R423" s="29">
        <f>M423/I423</f>
        <v>673.5719541269319</v>
      </c>
      <c r="S423" s="131">
        <v>14736.15</v>
      </c>
      <c r="T423" s="24" t="s">
        <v>1359</v>
      </c>
      <c r="U423" s="118">
        <v>6.3</v>
      </c>
      <c r="V423" s="296">
        <v>2019</v>
      </c>
    </row>
    <row r="424" spans="1:22" ht="60">
      <c r="A424" s="70">
        <v>17</v>
      </c>
      <c r="B424" s="128" t="s">
        <v>659</v>
      </c>
      <c r="C424" s="24">
        <v>1976</v>
      </c>
      <c r="D424" s="31"/>
      <c r="E424" s="24" t="s">
        <v>374</v>
      </c>
      <c r="F424" s="24">
        <v>2</v>
      </c>
      <c r="G424" s="24">
        <v>3</v>
      </c>
      <c r="H424" s="37">
        <v>822.15</v>
      </c>
      <c r="I424" s="37">
        <v>478.08</v>
      </c>
      <c r="J424" s="37">
        <v>478.08</v>
      </c>
      <c r="K424" s="36">
        <v>54</v>
      </c>
      <c r="L424" s="62" t="s">
        <v>153</v>
      </c>
      <c r="M424" s="37">
        <v>418299.48</v>
      </c>
      <c r="N424" s="133"/>
      <c r="O424" s="133"/>
      <c r="P424" s="133"/>
      <c r="Q424" s="37">
        <v>418299.48</v>
      </c>
      <c r="R424" s="29">
        <f>M424/I424</f>
        <v>874.957078313253</v>
      </c>
      <c r="S424" s="131">
        <v>14736.15</v>
      </c>
      <c r="T424" s="24" t="s">
        <v>1359</v>
      </c>
      <c r="U424" s="118">
        <v>6.3</v>
      </c>
      <c r="V424" s="296">
        <v>2019</v>
      </c>
    </row>
    <row r="425" spans="1:22" ht="45">
      <c r="A425" s="70">
        <v>18</v>
      </c>
      <c r="B425" s="128" t="s">
        <v>1163</v>
      </c>
      <c r="C425" s="33">
        <v>1987</v>
      </c>
      <c r="D425" s="152"/>
      <c r="E425" s="24" t="s">
        <v>374</v>
      </c>
      <c r="F425" s="33">
        <v>2</v>
      </c>
      <c r="G425" s="33">
        <v>2</v>
      </c>
      <c r="H425" s="100">
        <v>328.1</v>
      </c>
      <c r="I425" s="100">
        <v>321.8</v>
      </c>
      <c r="J425" s="100">
        <v>321.8</v>
      </c>
      <c r="K425" s="268">
        <v>12</v>
      </c>
      <c r="L425" s="62" t="s">
        <v>1350</v>
      </c>
      <c r="M425" s="37">
        <v>2202302.95</v>
      </c>
      <c r="N425" s="33"/>
      <c r="O425" s="33"/>
      <c r="P425" s="33"/>
      <c r="Q425" s="37">
        <v>2202302.95</v>
      </c>
      <c r="R425" s="29">
        <f>M425/I425</f>
        <v>6843.700901180858</v>
      </c>
      <c r="S425" s="131">
        <v>14736.15</v>
      </c>
      <c r="T425" s="24" t="s">
        <v>1359</v>
      </c>
      <c r="U425" s="118">
        <v>6.3</v>
      </c>
      <c r="V425" s="296">
        <v>2019</v>
      </c>
    </row>
    <row r="426" spans="1:22" ht="45">
      <c r="A426" s="70">
        <v>19</v>
      </c>
      <c r="B426" s="128" t="s">
        <v>1164</v>
      </c>
      <c r="C426" s="33">
        <v>1995</v>
      </c>
      <c r="D426" s="91"/>
      <c r="E426" s="27" t="s">
        <v>374</v>
      </c>
      <c r="F426" s="8">
        <v>3</v>
      </c>
      <c r="G426" s="8">
        <v>3</v>
      </c>
      <c r="H426" s="8">
        <v>1414.33</v>
      </c>
      <c r="I426" s="153">
        <v>1282.7</v>
      </c>
      <c r="J426" s="153">
        <v>1282.7</v>
      </c>
      <c r="K426" s="250">
        <v>73</v>
      </c>
      <c r="L426" s="62" t="s">
        <v>498</v>
      </c>
      <c r="M426" s="37">
        <v>744683.86</v>
      </c>
      <c r="N426" s="91"/>
      <c r="O426" s="91"/>
      <c r="P426" s="154"/>
      <c r="Q426" s="28">
        <v>744683.86</v>
      </c>
      <c r="R426" s="30">
        <f>M426/I426</f>
        <v>580.5596476183051</v>
      </c>
      <c r="S426" s="145">
        <v>14736.15</v>
      </c>
      <c r="T426" s="27" t="s">
        <v>1359</v>
      </c>
      <c r="U426" s="146">
        <v>6.3</v>
      </c>
      <c r="V426" s="296">
        <v>2019</v>
      </c>
    </row>
    <row r="427" spans="1:22" ht="15.75" customHeight="1">
      <c r="A427" s="155"/>
      <c r="B427" s="134" t="s">
        <v>132</v>
      </c>
      <c r="C427" s="31"/>
      <c r="D427" s="31"/>
      <c r="E427" s="31"/>
      <c r="F427" s="31"/>
      <c r="G427" s="31"/>
      <c r="H427" s="81">
        <f>SUM(H422:H426)</f>
        <v>3777.7</v>
      </c>
      <c r="I427" s="81">
        <f aca="true" t="shared" si="30" ref="I427:R427">SUM(I422:I426)</f>
        <v>2946.13</v>
      </c>
      <c r="J427" s="81">
        <f t="shared" si="30"/>
        <v>2946.13</v>
      </c>
      <c r="K427" s="98">
        <f t="shared" si="30"/>
        <v>218</v>
      </c>
      <c r="L427" s="81"/>
      <c r="M427" s="81">
        <f t="shared" si="30"/>
        <v>4478352.880000001</v>
      </c>
      <c r="N427" s="81"/>
      <c r="O427" s="81"/>
      <c r="P427" s="81"/>
      <c r="Q427" s="81">
        <f t="shared" si="30"/>
        <v>4478352.880000001</v>
      </c>
      <c r="R427" s="81">
        <f t="shared" si="30"/>
        <v>11055.957357572937</v>
      </c>
      <c r="S427" s="131"/>
      <c r="T427" s="136"/>
      <c r="U427" s="156"/>
      <c r="V427" s="296"/>
    </row>
    <row r="428" spans="1:22" ht="15">
      <c r="A428" s="300" t="s">
        <v>377</v>
      </c>
      <c r="B428" s="301"/>
      <c r="C428" s="301"/>
      <c r="D428" s="301"/>
      <c r="E428" s="301"/>
      <c r="F428" s="301"/>
      <c r="G428" s="301"/>
      <c r="H428" s="301"/>
      <c r="I428" s="301"/>
      <c r="J428" s="301"/>
      <c r="K428" s="301"/>
      <c r="L428" s="301"/>
      <c r="M428" s="301"/>
      <c r="N428" s="301"/>
      <c r="O428" s="301"/>
      <c r="P428" s="301"/>
      <c r="Q428" s="302"/>
      <c r="R428" s="301"/>
      <c r="S428" s="301"/>
      <c r="T428" s="301"/>
      <c r="U428" s="303"/>
      <c r="V428" s="296"/>
    </row>
    <row r="429" spans="1:22" ht="45">
      <c r="A429" s="70">
        <v>20</v>
      </c>
      <c r="B429" s="107" t="s">
        <v>1156</v>
      </c>
      <c r="C429" s="24">
        <v>1957</v>
      </c>
      <c r="D429" s="24">
        <v>2015</v>
      </c>
      <c r="E429" s="24" t="s">
        <v>374</v>
      </c>
      <c r="F429" s="24">
        <v>2</v>
      </c>
      <c r="G429" s="24">
        <v>2</v>
      </c>
      <c r="H429" s="37">
        <v>632.28</v>
      </c>
      <c r="I429" s="37">
        <v>632.28</v>
      </c>
      <c r="J429" s="37">
        <v>583.59</v>
      </c>
      <c r="K429" s="36">
        <v>17</v>
      </c>
      <c r="L429" s="24" t="s">
        <v>489</v>
      </c>
      <c r="M429" s="37">
        <v>1418264.18</v>
      </c>
      <c r="N429" s="133"/>
      <c r="O429" s="133"/>
      <c r="P429" s="133"/>
      <c r="Q429" s="37">
        <v>1418264.18</v>
      </c>
      <c r="R429" s="29">
        <f>M429/I429</f>
        <v>2243.0951160878094</v>
      </c>
      <c r="S429" s="131">
        <v>14736.15</v>
      </c>
      <c r="T429" s="24" t="s">
        <v>1359</v>
      </c>
      <c r="U429" s="118">
        <v>6.3</v>
      </c>
      <c r="V429" s="296">
        <v>2019</v>
      </c>
    </row>
    <row r="430" spans="1:22" ht="75">
      <c r="A430" s="70">
        <v>21</v>
      </c>
      <c r="B430" s="107" t="s">
        <v>1225</v>
      </c>
      <c r="C430" s="24">
        <v>1973</v>
      </c>
      <c r="D430" s="24"/>
      <c r="E430" s="24" t="s">
        <v>374</v>
      </c>
      <c r="F430" s="24">
        <v>2</v>
      </c>
      <c r="G430" s="24">
        <v>1</v>
      </c>
      <c r="H430" s="24">
        <v>346.6</v>
      </c>
      <c r="I430" s="24">
        <v>346.6</v>
      </c>
      <c r="J430" s="24">
        <v>253.9</v>
      </c>
      <c r="K430" s="36">
        <v>10</v>
      </c>
      <c r="L430" s="24" t="s">
        <v>1229</v>
      </c>
      <c r="M430" s="37">
        <v>1127941.25</v>
      </c>
      <c r="N430" s="37"/>
      <c r="O430" s="133"/>
      <c r="P430" s="37"/>
      <c r="Q430" s="37">
        <v>1127941.25</v>
      </c>
      <c r="R430" s="29">
        <f aca="true" t="shared" si="31" ref="R430:R435">M430/I430</f>
        <v>3254.3025100980954</v>
      </c>
      <c r="S430" s="131">
        <v>14736.15</v>
      </c>
      <c r="T430" s="24" t="s">
        <v>1359</v>
      </c>
      <c r="U430" s="118">
        <v>6.3</v>
      </c>
      <c r="V430" s="296">
        <v>2019</v>
      </c>
    </row>
    <row r="431" spans="1:22" ht="75">
      <c r="A431" s="70">
        <v>22</v>
      </c>
      <c r="B431" s="107" t="s">
        <v>1226</v>
      </c>
      <c r="C431" s="24">
        <v>1974</v>
      </c>
      <c r="D431" s="24"/>
      <c r="E431" s="24" t="s">
        <v>374</v>
      </c>
      <c r="F431" s="24">
        <v>2</v>
      </c>
      <c r="G431" s="24">
        <v>1</v>
      </c>
      <c r="H431" s="24">
        <v>362.3</v>
      </c>
      <c r="I431" s="24">
        <v>362.3</v>
      </c>
      <c r="J431" s="24">
        <v>362.3</v>
      </c>
      <c r="K431" s="36">
        <v>10</v>
      </c>
      <c r="L431" s="24" t="s">
        <v>1229</v>
      </c>
      <c r="M431" s="37">
        <v>1338704.97</v>
      </c>
      <c r="N431" s="37"/>
      <c r="O431" s="133"/>
      <c r="P431" s="37"/>
      <c r="Q431" s="37">
        <v>1338704.97</v>
      </c>
      <c r="R431" s="29">
        <f t="shared" si="31"/>
        <v>3695.0178581286227</v>
      </c>
      <c r="S431" s="131">
        <v>14736.15</v>
      </c>
      <c r="T431" s="24" t="s">
        <v>1359</v>
      </c>
      <c r="U431" s="118">
        <v>6.3</v>
      </c>
      <c r="V431" s="296">
        <v>2019</v>
      </c>
    </row>
    <row r="432" spans="1:22" ht="45">
      <c r="A432" s="70">
        <v>23</v>
      </c>
      <c r="B432" s="107" t="s">
        <v>1227</v>
      </c>
      <c r="C432" s="24">
        <v>1973</v>
      </c>
      <c r="D432" s="24"/>
      <c r="E432" s="24" t="s">
        <v>374</v>
      </c>
      <c r="F432" s="24">
        <v>2</v>
      </c>
      <c r="G432" s="24">
        <v>1</v>
      </c>
      <c r="H432" s="24">
        <v>377.6</v>
      </c>
      <c r="I432" s="24">
        <v>377.6</v>
      </c>
      <c r="J432" s="24">
        <v>377.6</v>
      </c>
      <c r="K432" s="36">
        <v>13</v>
      </c>
      <c r="L432" s="24" t="s">
        <v>489</v>
      </c>
      <c r="M432" s="37">
        <v>875289.82</v>
      </c>
      <c r="N432" s="37"/>
      <c r="O432" s="133"/>
      <c r="P432" s="37"/>
      <c r="Q432" s="37">
        <v>875289.82</v>
      </c>
      <c r="R432" s="29">
        <f t="shared" si="31"/>
        <v>2318.034480932203</v>
      </c>
      <c r="S432" s="131">
        <v>14736.15</v>
      </c>
      <c r="T432" s="24" t="s">
        <v>1359</v>
      </c>
      <c r="U432" s="118">
        <v>6.3</v>
      </c>
      <c r="V432" s="296">
        <v>2019</v>
      </c>
    </row>
    <row r="433" spans="1:22" ht="75">
      <c r="A433" s="70">
        <v>24</v>
      </c>
      <c r="B433" s="107" t="s">
        <v>584</v>
      </c>
      <c r="C433" s="24">
        <v>1977</v>
      </c>
      <c r="D433" s="24"/>
      <c r="E433" s="24" t="s">
        <v>374</v>
      </c>
      <c r="F433" s="24">
        <v>2</v>
      </c>
      <c r="G433" s="24">
        <v>2</v>
      </c>
      <c r="H433" s="24">
        <v>733.91</v>
      </c>
      <c r="I433" s="24">
        <v>733.91</v>
      </c>
      <c r="J433" s="24" t="s">
        <v>1224</v>
      </c>
      <c r="K433" s="36">
        <v>19</v>
      </c>
      <c r="L433" s="24" t="s">
        <v>604</v>
      </c>
      <c r="M433" s="37">
        <v>2155275.13</v>
      </c>
      <c r="N433" s="37"/>
      <c r="O433" s="133"/>
      <c r="P433" s="37"/>
      <c r="Q433" s="37">
        <v>2155275.13</v>
      </c>
      <c r="R433" s="29">
        <f t="shared" si="31"/>
        <v>2936.702225068469</v>
      </c>
      <c r="S433" s="131">
        <v>14736.15</v>
      </c>
      <c r="T433" s="24" t="s">
        <v>1359</v>
      </c>
      <c r="U433" s="118">
        <v>6.3</v>
      </c>
      <c r="V433" s="296">
        <v>2019</v>
      </c>
    </row>
    <row r="434" spans="1:22" ht="45">
      <c r="A434" s="70">
        <v>25</v>
      </c>
      <c r="B434" s="107" t="s">
        <v>1228</v>
      </c>
      <c r="C434" s="24">
        <v>1961</v>
      </c>
      <c r="D434" s="24"/>
      <c r="E434" s="24" t="s">
        <v>374</v>
      </c>
      <c r="F434" s="24">
        <v>3</v>
      </c>
      <c r="G434" s="24">
        <v>2</v>
      </c>
      <c r="H434" s="24">
        <v>783.08</v>
      </c>
      <c r="I434" s="24">
        <v>783.08</v>
      </c>
      <c r="J434" s="24">
        <v>720.63</v>
      </c>
      <c r="K434" s="36">
        <v>20</v>
      </c>
      <c r="L434" s="24" t="s">
        <v>288</v>
      </c>
      <c r="M434" s="37">
        <v>3097590.53</v>
      </c>
      <c r="N434" s="37"/>
      <c r="O434" s="133"/>
      <c r="P434" s="37"/>
      <c r="Q434" s="37">
        <v>3097590.53</v>
      </c>
      <c r="R434" s="29">
        <f t="shared" si="31"/>
        <v>3955.6501634571177</v>
      </c>
      <c r="S434" s="131">
        <v>14736.15</v>
      </c>
      <c r="T434" s="24" t="s">
        <v>1359</v>
      </c>
      <c r="U434" s="118">
        <v>6.3</v>
      </c>
      <c r="V434" s="296">
        <v>2019</v>
      </c>
    </row>
    <row r="435" spans="1:22" ht="45">
      <c r="A435" s="70">
        <v>26</v>
      </c>
      <c r="B435" s="107" t="s">
        <v>1157</v>
      </c>
      <c r="C435" s="24">
        <v>1960</v>
      </c>
      <c r="D435" s="24"/>
      <c r="E435" s="24" t="s">
        <v>374</v>
      </c>
      <c r="F435" s="24">
        <v>2</v>
      </c>
      <c r="G435" s="24">
        <v>1</v>
      </c>
      <c r="H435" s="24">
        <v>276.09</v>
      </c>
      <c r="I435" s="24">
        <v>276.09</v>
      </c>
      <c r="J435" s="24">
        <v>240.48</v>
      </c>
      <c r="K435" s="36">
        <v>13</v>
      </c>
      <c r="L435" s="24" t="s">
        <v>833</v>
      </c>
      <c r="M435" s="37">
        <v>920545.91</v>
      </c>
      <c r="N435" s="37"/>
      <c r="O435" s="133"/>
      <c r="P435" s="37"/>
      <c r="Q435" s="37">
        <v>920545.91</v>
      </c>
      <c r="R435" s="29">
        <f t="shared" si="31"/>
        <v>3334.224021152523</v>
      </c>
      <c r="S435" s="131">
        <v>14736.15</v>
      </c>
      <c r="T435" s="24" t="s">
        <v>1359</v>
      </c>
      <c r="U435" s="118">
        <v>6.3</v>
      </c>
      <c r="V435" s="296">
        <v>2019</v>
      </c>
    </row>
    <row r="436" spans="1:22" ht="15">
      <c r="A436" s="129"/>
      <c r="B436" s="157" t="s">
        <v>784</v>
      </c>
      <c r="C436" s="31"/>
      <c r="D436" s="31"/>
      <c r="E436" s="31"/>
      <c r="F436" s="31"/>
      <c r="G436" s="31"/>
      <c r="H436" s="81">
        <f>SUM(H429:H435)</f>
        <v>3511.86</v>
      </c>
      <c r="I436" s="81">
        <f>SUM(I429:I435)</f>
        <v>3511.86</v>
      </c>
      <c r="J436" s="81">
        <f>SUM(J429:J435)</f>
        <v>2538.5</v>
      </c>
      <c r="K436" s="98">
        <f>SUM(K429:K435)</f>
        <v>102</v>
      </c>
      <c r="L436" s="81"/>
      <c r="M436" s="81">
        <f>SUM(M429:M435)</f>
        <v>10933611.79</v>
      </c>
      <c r="N436" s="81"/>
      <c r="O436" s="81"/>
      <c r="P436" s="81"/>
      <c r="Q436" s="81">
        <f>SUM(Q429:Q435)</f>
        <v>10933611.79</v>
      </c>
      <c r="R436" s="135">
        <f>M436/I436</f>
        <v>3113.3393102230725</v>
      </c>
      <c r="S436" s="131"/>
      <c r="T436" s="136"/>
      <c r="U436" s="142"/>
      <c r="V436" s="296"/>
    </row>
    <row r="437" spans="1:22" ht="15">
      <c r="A437" s="300" t="s">
        <v>1671</v>
      </c>
      <c r="B437" s="301"/>
      <c r="C437" s="301"/>
      <c r="D437" s="301"/>
      <c r="E437" s="301"/>
      <c r="F437" s="301"/>
      <c r="G437" s="301"/>
      <c r="H437" s="301"/>
      <c r="I437" s="301"/>
      <c r="J437" s="301"/>
      <c r="K437" s="301"/>
      <c r="L437" s="301"/>
      <c r="M437" s="301"/>
      <c r="N437" s="301"/>
      <c r="O437" s="301"/>
      <c r="P437" s="301"/>
      <c r="Q437" s="302"/>
      <c r="R437" s="301"/>
      <c r="S437" s="301"/>
      <c r="T437" s="301"/>
      <c r="U437" s="303"/>
      <c r="V437" s="296"/>
    </row>
    <row r="438" spans="1:22" ht="45">
      <c r="A438" s="70">
        <v>27</v>
      </c>
      <c r="B438" s="107" t="s">
        <v>30</v>
      </c>
      <c r="C438" s="24">
        <v>1977</v>
      </c>
      <c r="D438" s="24"/>
      <c r="E438" s="24" t="s">
        <v>374</v>
      </c>
      <c r="F438" s="24">
        <v>2</v>
      </c>
      <c r="G438" s="24">
        <v>3</v>
      </c>
      <c r="H438" s="37">
        <v>944.43</v>
      </c>
      <c r="I438" s="37">
        <v>829.52</v>
      </c>
      <c r="J438" s="37">
        <v>779.08</v>
      </c>
      <c r="K438" s="36">
        <v>42</v>
      </c>
      <c r="L438" s="24" t="s">
        <v>489</v>
      </c>
      <c r="M438" s="37">
        <v>2383068.27</v>
      </c>
      <c r="N438" s="37"/>
      <c r="O438" s="37"/>
      <c r="P438" s="37"/>
      <c r="Q438" s="37">
        <v>2383068.27</v>
      </c>
      <c r="R438" s="29">
        <f>M438/I438</f>
        <v>2872.8279848587135</v>
      </c>
      <c r="S438" s="131">
        <v>14736.15</v>
      </c>
      <c r="T438" s="24" t="s">
        <v>1359</v>
      </c>
      <c r="U438" s="118">
        <v>6.3</v>
      </c>
      <c r="V438" s="296">
        <v>2019</v>
      </c>
    </row>
    <row r="439" spans="1:22" ht="60">
      <c r="A439" s="70">
        <v>28</v>
      </c>
      <c r="B439" s="128" t="s">
        <v>31</v>
      </c>
      <c r="C439" s="24">
        <v>1981</v>
      </c>
      <c r="D439" s="24"/>
      <c r="E439" s="24" t="s">
        <v>374</v>
      </c>
      <c r="F439" s="24">
        <v>2</v>
      </c>
      <c r="G439" s="24">
        <v>2</v>
      </c>
      <c r="H439" s="37">
        <v>679.14</v>
      </c>
      <c r="I439" s="37">
        <v>565.44</v>
      </c>
      <c r="J439" s="37">
        <v>565.44</v>
      </c>
      <c r="K439" s="36">
        <v>24</v>
      </c>
      <c r="L439" s="24" t="s">
        <v>505</v>
      </c>
      <c r="M439" s="37">
        <v>446226.66</v>
      </c>
      <c r="N439" s="37"/>
      <c r="O439" s="37" t="s">
        <v>59</v>
      </c>
      <c r="P439" s="37"/>
      <c r="Q439" s="37">
        <v>446226.66</v>
      </c>
      <c r="R439" s="29">
        <f>M439/I439</f>
        <v>789.1671264855686</v>
      </c>
      <c r="S439" s="131">
        <v>14736.15</v>
      </c>
      <c r="T439" s="24" t="s">
        <v>1359</v>
      </c>
      <c r="U439" s="118">
        <v>6.3</v>
      </c>
      <c r="V439" s="296">
        <v>2019</v>
      </c>
    </row>
    <row r="440" spans="1:22" ht="15">
      <c r="A440" s="129"/>
      <c r="B440" s="157" t="s">
        <v>76</v>
      </c>
      <c r="C440" s="31"/>
      <c r="D440" s="31"/>
      <c r="E440" s="31"/>
      <c r="F440" s="31"/>
      <c r="G440" s="31"/>
      <c r="H440" s="81">
        <f>SUM(H438:H439)</f>
        <v>1623.57</v>
      </c>
      <c r="I440" s="81">
        <f aca="true" t="shared" si="32" ref="I440:Q440">SUM(I438:I439)</f>
        <v>1394.96</v>
      </c>
      <c r="J440" s="81">
        <f t="shared" si="32"/>
        <v>1344.52</v>
      </c>
      <c r="K440" s="98">
        <f t="shared" si="32"/>
        <v>66</v>
      </c>
      <c r="L440" s="81"/>
      <c r="M440" s="81">
        <f t="shared" si="32"/>
        <v>2829294.93</v>
      </c>
      <c r="N440" s="81"/>
      <c r="O440" s="81"/>
      <c r="P440" s="81"/>
      <c r="Q440" s="81">
        <f t="shared" si="32"/>
        <v>2829294.93</v>
      </c>
      <c r="R440" s="96">
        <f>M440/I440</f>
        <v>2028.2265656362906</v>
      </c>
      <c r="S440" s="134"/>
      <c r="T440" s="130"/>
      <c r="U440" s="158"/>
      <c r="V440" s="296"/>
    </row>
    <row r="441" spans="1:22" ht="15">
      <c r="A441" s="300" t="s">
        <v>1356</v>
      </c>
      <c r="B441" s="301"/>
      <c r="C441" s="301"/>
      <c r="D441" s="301"/>
      <c r="E441" s="301"/>
      <c r="F441" s="301"/>
      <c r="G441" s="301"/>
      <c r="H441" s="301"/>
      <c r="I441" s="301"/>
      <c r="J441" s="301"/>
      <c r="K441" s="301"/>
      <c r="L441" s="301"/>
      <c r="M441" s="301"/>
      <c r="N441" s="301"/>
      <c r="O441" s="301"/>
      <c r="P441" s="301"/>
      <c r="Q441" s="302"/>
      <c r="R441" s="301"/>
      <c r="S441" s="301"/>
      <c r="T441" s="301"/>
      <c r="U441" s="303"/>
      <c r="V441" s="296"/>
    </row>
    <row r="442" spans="1:22" ht="45">
      <c r="A442" s="70">
        <v>29</v>
      </c>
      <c r="B442" s="107" t="s">
        <v>32</v>
      </c>
      <c r="C442" s="24">
        <v>1983</v>
      </c>
      <c r="D442" s="24"/>
      <c r="E442" s="24" t="s">
        <v>494</v>
      </c>
      <c r="F442" s="24">
        <v>5</v>
      </c>
      <c r="G442" s="24">
        <v>2</v>
      </c>
      <c r="H442" s="37">
        <v>2478.3</v>
      </c>
      <c r="I442" s="37">
        <v>2438.6</v>
      </c>
      <c r="J442" s="37">
        <v>2307.2</v>
      </c>
      <c r="K442" s="36">
        <v>92</v>
      </c>
      <c r="L442" s="24" t="s">
        <v>834</v>
      </c>
      <c r="M442" s="37">
        <v>859294.65</v>
      </c>
      <c r="N442" s="130"/>
      <c r="O442" s="130"/>
      <c r="P442" s="133"/>
      <c r="Q442" s="37">
        <v>859294.65</v>
      </c>
      <c r="R442" s="29">
        <f>M442/I442</f>
        <v>352.3721192487493</v>
      </c>
      <c r="S442" s="131">
        <v>14736.15</v>
      </c>
      <c r="T442" s="24" t="s">
        <v>1359</v>
      </c>
      <c r="U442" s="118">
        <v>6.3</v>
      </c>
      <c r="V442" s="296">
        <v>2019</v>
      </c>
    </row>
    <row r="443" spans="1:22" ht="45">
      <c r="A443" s="70">
        <v>30</v>
      </c>
      <c r="B443" s="107" t="s">
        <v>102</v>
      </c>
      <c r="C443" s="24">
        <v>1992</v>
      </c>
      <c r="D443" s="24"/>
      <c r="E443" s="24" t="s">
        <v>374</v>
      </c>
      <c r="F443" s="24">
        <v>3</v>
      </c>
      <c r="G443" s="24">
        <v>1</v>
      </c>
      <c r="H443" s="29">
        <v>946.2</v>
      </c>
      <c r="I443" s="29">
        <v>482.5</v>
      </c>
      <c r="J443" s="29">
        <v>399.6</v>
      </c>
      <c r="K443" s="36">
        <v>17</v>
      </c>
      <c r="L443" s="24" t="s">
        <v>112</v>
      </c>
      <c r="M443" s="37">
        <v>2765442.58</v>
      </c>
      <c r="N443" s="130"/>
      <c r="O443" s="130"/>
      <c r="P443" s="133"/>
      <c r="Q443" s="37">
        <v>2765442.58</v>
      </c>
      <c r="R443" s="29">
        <f>M443/I443</f>
        <v>5731.487212435233</v>
      </c>
      <c r="S443" s="131">
        <v>14736.15</v>
      </c>
      <c r="T443" s="24" t="s">
        <v>1359</v>
      </c>
      <c r="U443" s="118">
        <v>6.3</v>
      </c>
      <c r="V443" s="296">
        <v>2019</v>
      </c>
    </row>
    <row r="444" spans="1:22" ht="45">
      <c r="A444" s="70">
        <v>31</v>
      </c>
      <c r="B444" s="107" t="s">
        <v>103</v>
      </c>
      <c r="C444" s="24">
        <v>2005</v>
      </c>
      <c r="D444" s="24"/>
      <c r="E444" s="24" t="s">
        <v>374</v>
      </c>
      <c r="F444" s="24">
        <v>3</v>
      </c>
      <c r="G444" s="24">
        <v>1</v>
      </c>
      <c r="H444" s="29">
        <v>678.8</v>
      </c>
      <c r="I444" s="29">
        <v>445.6</v>
      </c>
      <c r="J444" s="29">
        <v>445.6</v>
      </c>
      <c r="K444" s="36">
        <v>26</v>
      </c>
      <c r="L444" s="24" t="s">
        <v>497</v>
      </c>
      <c r="M444" s="37">
        <v>1210508.39</v>
      </c>
      <c r="N444" s="130"/>
      <c r="O444" s="130"/>
      <c r="P444" s="133"/>
      <c r="Q444" s="37">
        <v>1210508.39</v>
      </c>
      <c r="R444" s="29">
        <f>M444/I444</f>
        <v>2716.580767504488</v>
      </c>
      <c r="S444" s="131">
        <v>14736.15</v>
      </c>
      <c r="T444" s="24" t="s">
        <v>1359</v>
      </c>
      <c r="U444" s="118">
        <v>6.3</v>
      </c>
      <c r="V444" s="296">
        <v>2019</v>
      </c>
    </row>
    <row r="445" spans="1:22" ht="15">
      <c r="A445" s="129"/>
      <c r="B445" s="112" t="s">
        <v>1615</v>
      </c>
      <c r="C445" s="31"/>
      <c r="D445" s="31"/>
      <c r="E445" s="31"/>
      <c r="F445" s="31"/>
      <c r="G445" s="31"/>
      <c r="H445" s="81">
        <f>SUM(H442:H444)</f>
        <v>4103.3</v>
      </c>
      <c r="I445" s="81">
        <f>SUM(I442:I444)</f>
        <v>3366.7</v>
      </c>
      <c r="J445" s="81">
        <f>SUM(J442:J444)</f>
        <v>3152.3999999999996</v>
      </c>
      <c r="K445" s="98">
        <f>SUM(K442:K444)</f>
        <v>135</v>
      </c>
      <c r="L445" s="98"/>
      <c r="M445" s="81">
        <f>SUM(M442:M444)</f>
        <v>4835245.62</v>
      </c>
      <c r="N445" s="81"/>
      <c r="O445" s="81"/>
      <c r="P445" s="81"/>
      <c r="Q445" s="81">
        <f>SUM(Q442:Q444)</f>
        <v>4835245.62</v>
      </c>
      <c r="R445" s="81">
        <f>M445/I445</f>
        <v>1436.197350521282</v>
      </c>
      <c r="S445" s="131"/>
      <c r="T445" s="136"/>
      <c r="U445" s="142"/>
      <c r="V445" s="296"/>
    </row>
    <row r="446" spans="1:22" ht="15">
      <c r="A446" s="300" t="s">
        <v>1357</v>
      </c>
      <c r="B446" s="301"/>
      <c r="C446" s="301"/>
      <c r="D446" s="301"/>
      <c r="E446" s="301"/>
      <c r="F446" s="301"/>
      <c r="G446" s="301"/>
      <c r="H446" s="301"/>
      <c r="I446" s="301"/>
      <c r="J446" s="301"/>
      <c r="K446" s="301"/>
      <c r="L446" s="301"/>
      <c r="M446" s="301"/>
      <c r="N446" s="301"/>
      <c r="O446" s="301"/>
      <c r="P446" s="301"/>
      <c r="Q446" s="302"/>
      <c r="R446" s="301"/>
      <c r="S446" s="301"/>
      <c r="T446" s="301"/>
      <c r="U446" s="303"/>
      <c r="V446" s="296"/>
    </row>
    <row r="447" spans="1:22" ht="45">
      <c r="A447" s="70">
        <v>32</v>
      </c>
      <c r="B447" s="107" t="s">
        <v>33</v>
      </c>
      <c r="C447" s="24">
        <v>1974</v>
      </c>
      <c r="D447" s="24">
        <v>2009</v>
      </c>
      <c r="E447" s="24" t="s">
        <v>374</v>
      </c>
      <c r="F447" s="24">
        <v>2</v>
      </c>
      <c r="G447" s="24">
        <v>2</v>
      </c>
      <c r="H447" s="37">
        <v>773.7</v>
      </c>
      <c r="I447" s="37">
        <v>715.5</v>
      </c>
      <c r="J447" s="37">
        <v>376.4</v>
      </c>
      <c r="K447" s="36">
        <v>40</v>
      </c>
      <c r="L447" s="24" t="s">
        <v>497</v>
      </c>
      <c r="M447" s="37">
        <v>1253126.29</v>
      </c>
      <c r="N447" s="24"/>
      <c r="O447" s="79"/>
      <c r="P447" s="79"/>
      <c r="Q447" s="37">
        <v>1253126.29</v>
      </c>
      <c r="R447" s="29">
        <f>M447/I447</f>
        <v>1751.399426974144</v>
      </c>
      <c r="S447" s="131">
        <v>14736.15</v>
      </c>
      <c r="T447" s="24" t="s">
        <v>1359</v>
      </c>
      <c r="U447" s="118">
        <v>6.3</v>
      </c>
      <c r="V447" s="296">
        <v>2019</v>
      </c>
    </row>
    <row r="448" spans="1:22" ht="60">
      <c r="A448" s="70">
        <v>33</v>
      </c>
      <c r="B448" s="107" t="s">
        <v>34</v>
      </c>
      <c r="C448" s="24">
        <v>1967</v>
      </c>
      <c r="D448" s="24"/>
      <c r="E448" s="24" t="s">
        <v>374</v>
      </c>
      <c r="F448" s="24">
        <v>2</v>
      </c>
      <c r="G448" s="24">
        <v>2</v>
      </c>
      <c r="H448" s="37">
        <v>545.7</v>
      </c>
      <c r="I448" s="37">
        <v>516.1</v>
      </c>
      <c r="J448" s="37">
        <v>516.1</v>
      </c>
      <c r="K448" s="36">
        <v>12</v>
      </c>
      <c r="L448" s="24" t="s">
        <v>289</v>
      </c>
      <c r="M448" s="37">
        <v>1207013.74</v>
      </c>
      <c r="N448" s="37"/>
      <c r="O448" s="37"/>
      <c r="P448" s="37"/>
      <c r="Q448" s="37">
        <v>1207013.74</v>
      </c>
      <c r="R448" s="29">
        <f aca="true" t="shared" si="33" ref="R448:R456">M448/I448</f>
        <v>2338.7206742879284</v>
      </c>
      <c r="S448" s="131">
        <v>14736.15</v>
      </c>
      <c r="T448" s="24" t="s">
        <v>1359</v>
      </c>
      <c r="U448" s="118">
        <v>6.3</v>
      </c>
      <c r="V448" s="296">
        <v>2019</v>
      </c>
    </row>
    <row r="449" spans="1:22" ht="45">
      <c r="A449" s="70">
        <v>34</v>
      </c>
      <c r="B449" s="107" t="s">
        <v>705</v>
      </c>
      <c r="C449" s="24">
        <v>1978</v>
      </c>
      <c r="D449" s="24">
        <v>2009</v>
      </c>
      <c r="E449" s="24" t="s">
        <v>374</v>
      </c>
      <c r="F449" s="24">
        <v>2</v>
      </c>
      <c r="G449" s="24">
        <v>3</v>
      </c>
      <c r="H449" s="37">
        <v>971.7</v>
      </c>
      <c r="I449" s="37">
        <v>864.4</v>
      </c>
      <c r="J449" s="37">
        <v>632.4</v>
      </c>
      <c r="K449" s="36">
        <v>51</v>
      </c>
      <c r="L449" s="24" t="s">
        <v>498</v>
      </c>
      <c r="M449" s="37">
        <v>386803.4</v>
      </c>
      <c r="N449" s="24"/>
      <c r="O449" s="79"/>
      <c r="P449" s="79"/>
      <c r="Q449" s="37">
        <v>386803.4</v>
      </c>
      <c r="R449" s="29">
        <f t="shared" si="33"/>
        <v>447.4819527996298</v>
      </c>
      <c r="S449" s="131">
        <v>14736.15</v>
      </c>
      <c r="T449" s="24" t="s">
        <v>1359</v>
      </c>
      <c r="U449" s="118">
        <v>6.3</v>
      </c>
      <c r="V449" s="296">
        <v>2019</v>
      </c>
    </row>
    <row r="450" spans="1:22" ht="45">
      <c r="A450" s="70">
        <v>35</v>
      </c>
      <c r="B450" s="107" t="s">
        <v>706</v>
      </c>
      <c r="C450" s="24">
        <v>1964</v>
      </c>
      <c r="D450" s="24">
        <v>2011</v>
      </c>
      <c r="E450" s="24" t="s">
        <v>374</v>
      </c>
      <c r="F450" s="24">
        <v>2</v>
      </c>
      <c r="G450" s="24">
        <v>2</v>
      </c>
      <c r="H450" s="37">
        <v>429.6</v>
      </c>
      <c r="I450" s="37">
        <v>382.4</v>
      </c>
      <c r="J450" s="37">
        <v>329.2</v>
      </c>
      <c r="K450" s="36">
        <v>15</v>
      </c>
      <c r="L450" s="24" t="s">
        <v>384</v>
      </c>
      <c r="M450" s="37">
        <v>184491.94</v>
      </c>
      <c r="N450" s="24"/>
      <c r="O450" s="79"/>
      <c r="P450" s="79"/>
      <c r="Q450" s="37">
        <v>184491.94</v>
      </c>
      <c r="R450" s="29">
        <f t="shared" si="33"/>
        <v>482.45800209205026</v>
      </c>
      <c r="S450" s="131">
        <v>14736.15</v>
      </c>
      <c r="T450" s="24" t="s">
        <v>1359</v>
      </c>
      <c r="U450" s="118">
        <v>6.3</v>
      </c>
      <c r="V450" s="296">
        <v>2019</v>
      </c>
    </row>
    <row r="451" spans="1:22" ht="45">
      <c r="A451" s="70">
        <v>36</v>
      </c>
      <c r="B451" s="107" t="s">
        <v>707</v>
      </c>
      <c r="C451" s="24">
        <v>1976</v>
      </c>
      <c r="D451" s="24"/>
      <c r="E451" s="24" t="s">
        <v>374</v>
      </c>
      <c r="F451" s="24">
        <v>5</v>
      </c>
      <c r="G451" s="24">
        <v>1</v>
      </c>
      <c r="H451" s="37">
        <v>961.2</v>
      </c>
      <c r="I451" s="37">
        <v>870</v>
      </c>
      <c r="J451" s="37">
        <v>812</v>
      </c>
      <c r="K451" s="36">
        <v>15</v>
      </c>
      <c r="L451" s="24" t="s">
        <v>1067</v>
      </c>
      <c r="M451" s="37">
        <v>798026.89</v>
      </c>
      <c r="N451" s="24"/>
      <c r="O451" s="79"/>
      <c r="P451" s="79"/>
      <c r="Q451" s="37">
        <v>798026.89</v>
      </c>
      <c r="R451" s="29">
        <f t="shared" si="33"/>
        <v>917.2722873563218</v>
      </c>
      <c r="S451" s="131">
        <v>14736.15</v>
      </c>
      <c r="T451" s="24" t="s">
        <v>1359</v>
      </c>
      <c r="U451" s="118">
        <v>6.3</v>
      </c>
      <c r="V451" s="296">
        <v>2019</v>
      </c>
    </row>
    <row r="452" spans="1:22" ht="90">
      <c r="A452" s="70">
        <v>37</v>
      </c>
      <c r="B452" s="107" t="s">
        <v>708</v>
      </c>
      <c r="C452" s="24">
        <v>1983</v>
      </c>
      <c r="D452" s="24"/>
      <c r="E452" s="24" t="s">
        <v>374</v>
      </c>
      <c r="F452" s="24">
        <v>3</v>
      </c>
      <c r="G452" s="24">
        <v>2</v>
      </c>
      <c r="H452" s="37">
        <v>1239.7</v>
      </c>
      <c r="I452" s="37">
        <v>1058.8</v>
      </c>
      <c r="J452" s="37">
        <v>778</v>
      </c>
      <c r="K452" s="36">
        <v>21</v>
      </c>
      <c r="L452" s="24" t="s">
        <v>290</v>
      </c>
      <c r="M452" s="37">
        <v>2275390.86</v>
      </c>
      <c r="N452" s="24"/>
      <c r="O452" s="79"/>
      <c r="P452" s="79"/>
      <c r="Q452" s="37">
        <v>2275390.86</v>
      </c>
      <c r="R452" s="29">
        <f t="shared" si="33"/>
        <v>2149.02801284473</v>
      </c>
      <c r="S452" s="131">
        <v>14736.15</v>
      </c>
      <c r="T452" s="24" t="s">
        <v>1359</v>
      </c>
      <c r="U452" s="118">
        <v>6.3</v>
      </c>
      <c r="V452" s="296">
        <v>2019</v>
      </c>
    </row>
    <row r="453" spans="1:22" ht="45">
      <c r="A453" s="70">
        <v>38</v>
      </c>
      <c r="B453" s="34" t="s">
        <v>108</v>
      </c>
      <c r="C453" s="24">
        <v>1968</v>
      </c>
      <c r="D453" s="24"/>
      <c r="E453" s="24" t="s">
        <v>374</v>
      </c>
      <c r="F453" s="24">
        <v>2</v>
      </c>
      <c r="G453" s="24">
        <v>1</v>
      </c>
      <c r="H453" s="29">
        <v>388.4</v>
      </c>
      <c r="I453" s="29">
        <v>348.9</v>
      </c>
      <c r="J453" s="29">
        <v>348.9</v>
      </c>
      <c r="K453" s="36">
        <v>14</v>
      </c>
      <c r="L453" s="24" t="s">
        <v>489</v>
      </c>
      <c r="M453" s="37">
        <v>1151018.7</v>
      </c>
      <c r="N453" s="29"/>
      <c r="O453" s="29"/>
      <c r="P453" s="29"/>
      <c r="Q453" s="37">
        <v>1151018.7</v>
      </c>
      <c r="R453" s="29">
        <f t="shared" si="33"/>
        <v>3298.993121238177</v>
      </c>
      <c r="S453" s="131">
        <v>14736.15</v>
      </c>
      <c r="T453" s="24" t="s">
        <v>1359</v>
      </c>
      <c r="U453" s="118">
        <v>6.3</v>
      </c>
      <c r="V453" s="296">
        <v>2019</v>
      </c>
    </row>
    <row r="454" spans="1:22" ht="45">
      <c r="A454" s="70">
        <v>39</v>
      </c>
      <c r="B454" s="34" t="s">
        <v>107</v>
      </c>
      <c r="C454" s="24">
        <v>1971</v>
      </c>
      <c r="D454" s="24"/>
      <c r="E454" s="24" t="s">
        <v>374</v>
      </c>
      <c r="F454" s="24">
        <v>2</v>
      </c>
      <c r="G454" s="24">
        <v>1</v>
      </c>
      <c r="H454" s="29">
        <v>416</v>
      </c>
      <c r="I454" s="29">
        <v>373.9</v>
      </c>
      <c r="J454" s="29">
        <v>384.7</v>
      </c>
      <c r="K454" s="36">
        <v>12</v>
      </c>
      <c r="L454" s="24" t="s">
        <v>489</v>
      </c>
      <c r="M454" s="37">
        <v>1480367.18</v>
      </c>
      <c r="N454" s="29"/>
      <c r="O454" s="29"/>
      <c r="P454" s="29"/>
      <c r="Q454" s="37">
        <v>1480367.18</v>
      </c>
      <c r="R454" s="29">
        <f t="shared" si="33"/>
        <v>3959.259641615405</v>
      </c>
      <c r="S454" s="131">
        <v>14736.15</v>
      </c>
      <c r="T454" s="24" t="s">
        <v>1359</v>
      </c>
      <c r="U454" s="118">
        <v>6.3</v>
      </c>
      <c r="V454" s="296">
        <v>2019</v>
      </c>
    </row>
    <row r="455" spans="1:22" ht="45">
      <c r="A455" s="70">
        <v>40</v>
      </c>
      <c r="B455" s="34" t="s">
        <v>369</v>
      </c>
      <c r="C455" s="24">
        <v>1993</v>
      </c>
      <c r="D455" s="24"/>
      <c r="E455" s="24" t="s">
        <v>374</v>
      </c>
      <c r="F455" s="24">
        <v>2</v>
      </c>
      <c r="G455" s="24">
        <v>1</v>
      </c>
      <c r="H455" s="29">
        <v>351.6</v>
      </c>
      <c r="I455" s="29">
        <v>288</v>
      </c>
      <c r="J455" s="29">
        <v>288</v>
      </c>
      <c r="K455" s="36">
        <v>14</v>
      </c>
      <c r="L455" s="24" t="s">
        <v>489</v>
      </c>
      <c r="M455" s="37">
        <v>779626.98</v>
      </c>
      <c r="N455" s="29"/>
      <c r="O455" s="29"/>
      <c r="P455" s="29"/>
      <c r="Q455" s="37">
        <v>779626.98</v>
      </c>
      <c r="R455" s="29">
        <f t="shared" si="33"/>
        <v>2707.038125</v>
      </c>
      <c r="S455" s="131">
        <v>14736.15</v>
      </c>
      <c r="T455" s="24" t="s">
        <v>1359</v>
      </c>
      <c r="U455" s="118">
        <v>6.3</v>
      </c>
      <c r="V455" s="296">
        <v>2019</v>
      </c>
    </row>
    <row r="456" spans="1:22" ht="15">
      <c r="A456" s="129"/>
      <c r="B456" s="157" t="s">
        <v>133</v>
      </c>
      <c r="C456" s="24"/>
      <c r="D456" s="24"/>
      <c r="E456" s="24"/>
      <c r="F456" s="24"/>
      <c r="G456" s="24"/>
      <c r="H456" s="81">
        <f>SUM(H447:H455)</f>
        <v>6077.6</v>
      </c>
      <c r="I456" s="81">
        <f aca="true" t="shared" si="34" ref="I456:Q456">SUM(I447:I455)</f>
        <v>5417.999999999999</v>
      </c>
      <c r="J456" s="81">
        <f t="shared" si="34"/>
        <v>4465.700000000001</v>
      </c>
      <c r="K456" s="98">
        <f t="shared" si="34"/>
        <v>194</v>
      </c>
      <c r="L456" s="81"/>
      <c r="M456" s="81">
        <f t="shared" si="34"/>
        <v>9515865.98</v>
      </c>
      <c r="N456" s="81"/>
      <c r="O456" s="81"/>
      <c r="P456" s="81"/>
      <c r="Q456" s="81">
        <f t="shared" si="34"/>
        <v>9515865.98</v>
      </c>
      <c r="R456" s="96">
        <f t="shared" si="33"/>
        <v>1756.3429272794392</v>
      </c>
      <c r="S456" s="131"/>
      <c r="T456" s="136"/>
      <c r="U456" s="142"/>
      <c r="V456" s="296"/>
    </row>
    <row r="457" spans="1:22" ht="15">
      <c r="A457" s="300" t="s">
        <v>1358</v>
      </c>
      <c r="B457" s="301"/>
      <c r="C457" s="301"/>
      <c r="D457" s="301"/>
      <c r="E457" s="301"/>
      <c r="F457" s="301"/>
      <c r="G457" s="301"/>
      <c r="H457" s="301"/>
      <c r="I457" s="301"/>
      <c r="J457" s="301"/>
      <c r="K457" s="301"/>
      <c r="L457" s="301"/>
      <c r="M457" s="301"/>
      <c r="N457" s="301"/>
      <c r="O457" s="301"/>
      <c r="P457" s="301"/>
      <c r="Q457" s="302"/>
      <c r="R457" s="301"/>
      <c r="S457" s="301"/>
      <c r="T457" s="301"/>
      <c r="U457" s="303"/>
      <c r="V457" s="296"/>
    </row>
    <row r="458" spans="1:22" ht="45">
      <c r="A458" s="70">
        <v>41</v>
      </c>
      <c r="B458" s="159" t="s">
        <v>138</v>
      </c>
      <c r="C458" s="35">
        <v>1978</v>
      </c>
      <c r="D458" s="35">
        <v>2015</v>
      </c>
      <c r="E458" s="105" t="s">
        <v>374</v>
      </c>
      <c r="F458" s="35">
        <v>2</v>
      </c>
      <c r="G458" s="35">
        <v>3</v>
      </c>
      <c r="H458" s="37">
        <v>847.9</v>
      </c>
      <c r="I458" s="37">
        <v>847.9</v>
      </c>
      <c r="J458" s="37">
        <v>757.1</v>
      </c>
      <c r="K458" s="36">
        <v>18</v>
      </c>
      <c r="L458" s="24" t="s">
        <v>384</v>
      </c>
      <c r="M458" s="37">
        <v>318481.76</v>
      </c>
      <c r="N458" s="37"/>
      <c r="O458" s="37"/>
      <c r="P458" s="37"/>
      <c r="Q458" s="37">
        <v>318481.76</v>
      </c>
      <c r="R458" s="37">
        <f aca="true" t="shared" si="35" ref="R458:R464">M458/I458</f>
        <v>375.61240712348155</v>
      </c>
      <c r="S458" s="131">
        <v>14736.15</v>
      </c>
      <c r="T458" s="37" t="s">
        <v>1359</v>
      </c>
      <c r="U458" s="118">
        <v>6.3</v>
      </c>
      <c r="V458" s="296">
        <v>2019</v>
      </c>
    </row>
    <row r="459" spans="1:22" ht="45">
      <c r="A459" s="70">
        <v>42</v>
      </c>
      <c r="B459" s="159" t="s">
        <v>36</v>
      </c>
      <c r="C459" s="35">
        <v>1980</v>
      </c>
      <c r="D459" s="35"/>
      <c r="E459" s="105" t="s">
        <v>374</v>
      </c>
      <c r="F459" s="35">
        <v>2</v>
      </c>
      <c r="G459" s="35">
        <v>2</v>
      </c>
      <c r="H459" s="37">
        <v>370.21</v>
      </c>
      <c r="I459" s="37">
        <v>370.21</v>
      </c>
      <c r="J459" s="37">
        <v>283.1</v>
      </c>
      <c r="K459" s="36">
        <v>24</v>
      </c>
      <c r="L459" s="24" t="s">
        <v>496</v>
      </c>
      <c r="M459" s="37">
        <v>1381373.4</v>
      </c>
      <c r="N459" s="37"/>
      <c r="O459" s="37"/>
      <c r="P459" s="37"/>
      <c r="Q459" s="37">
        <v>1381373.4</v>
      </c>
      <c r="R459" s="37">
        <f t="shared" si="35"/>
        <v>3731.323843224116</v>
      </c>
      <c r="S459" s="131">
        <v>14736.15</v>
      </c>
      <c r="T459" s="37" t="s">
        <v>1359</v>
      </c>
      <c r="U459" s="118">
        <v>6.3</v>
      </c>
      <c r="V459" s="296">
        <v>2019</v>
      </c>
    </row>
    <row r="460" spans="1:22" ht="45">
      <c r="A460" s="70">
        <v>43</v>
      </c>
      <c r="B460" s="159" t="s">
        <v>139</v>
      </c>
      <c r="C460" s="35">
        <v>1971</v>
      </c>
      <c r="D460" s="35">
        <v>2013</v>
      </c>
      <c r="E460" s="105" t="s">
        <v>374</v>
      </c>
      <c r="F460" s="35">
        <v>2</v>
      </c>
      <c r="G460" s="35">
        <v>3</v>
      </c>
      <c r="H460" s="37">
        <v>858.65</v>
      </c>
      <c r="I460" s="37">
        <v>858.65</v>
      </c>
      <c r="J460" s="37">
        <v>814.55</v>
      </c>
      <c r="K460" s="36">
        <v>51</v>
      </c>
      <c r="L460" s="24" t="s">
        <v>1592</v>
      </c>
      <c r="M460" s="37">
        <v>1324949.32</v>
      </c>
      <c r="N460" s="37"/>
      <c r="O460" s="37"/>
      <c r="P460" s="37"/>
      <c r="Q460" s="37">
        <v>1324949.32</v>
      </c>
      <c r="R460" s="37">
        <f t="shared" si="35"/>
        <v>1543.0609910906658</v>
      </c>
      <c r="S460" s="131">
        <v>14736.15</v>
      </c>
      <c r="T460" s="37" t="s">
        <v>1359</v>
      </c>
      <c r="U460" s="118">
        <v>6.3</v>
      </c>
      <c r="V460" s="296">
        <v>2019</v>
      </c>
    </row>
    <row r="461" spans="1:22" ht="45">
      <c r="A461" s="70">
        <v>44</v>
      </c>
      <c r="B461" s="159" t="s">
        <v>137</v>
      </c>
      <c r="C461" s="35">
        <v>1974</v>
      </c>
      <c r="D461" s="35">
        <v>2011</v>
      </c>
      <c r="E461" s="105" t="s">
        <v>374</v>
      </c>
      <c r="F461" s="35">
        <v>2</v>
      </c>
      <c r="G461" s="35">
        <v>2</v>
      </c>
      <c r="H461" s="37">
        <v>725.2</v>
      </c>
      <c r="I461" s="37">
        <v>725.2</v>
      </c>
      <c r="J461" s="37">
        <v>683.1</v>
      </c>
      <c r="K461" s="36">
        <v>29</v>
      </c>
      <c r="L461" s="24" t="s">
        <v>721</v>
      </c>
      <c r="M461" s="37">
        <v>244620.17</v>
      </c>
      <c r="N461" s="37"/>
      <c r="O461" s="37"/>
      <c r="P461" s="37"/>
      <c r="Q461" s="37">
        <v>244620.17</v>
      </c>
      <c r="R461" s="37">
        <f t="shared" si="35"/>
        <v>337.31407887479315</v>
      </c>
      <c r="S461" s="131">
        <v>14736.15</v>
      </c>
      <c r="T461" s="37" t="s">
        <v>1359</v>
      </c>
      <c r="U461" s="118">
        <v>6.3</v>
      </c>
      <c r="V461" s="296">
        <v>2019</v>
      </c>
    </row>
    <row r="462" spans="1:22" ht="45">
      <c r="A462" s="70">
        <v>45</v>
      </c>
      <c r="B462" s="159" t="s">
        <v>1529</v>
      </c>
      <c r="C462" s="35">
        <v>1971</v>
      </c>
      <c r="D462" s="35">
        <v>2016</v>
      </c>
      <c r="E462" s="105" t="s">
        <v>374</v>
      </c>
      <c r="F462" s="35">
        <v>2</v>
      </c>
      <c r="G462" s="35">
        <v>1</v>
      </c>
      <c r="H462" s="37">
        <v>462.1</v>
      </c>
      <c r="I462" s="37">
        <v>462.1</v>
      </c>
      <c r="J462" s="37">
        <v>258.8</v>
      </c>
      <c r="K462" s="36">
        <v>32</v>
      </c>
      <c r="L462" s="24" t="s">
        <v>1069</v>
      </c>
      <c r="M462" s="37">
        <v>621032.34</v>
      </c>
      <c r="N462" s="37"/>
      <c r="O462" s="37"/>
      <c r="P462" s="37"/>
      <c r="Q462" s="37">
        <v>621032.34</v>
      </c>
      <c r="R462" s="37">
        <f t="shared" si="35"/>
        <v>1343.9349491452065</v>
      </c>
      <c r="S462" s="131">
        <v>14736.15</v>
      </c>
      <c r="T462" s="37" t="s">
        <v>1359</v>
      </c>
      <c r="U462" s="118">
        <v>6.3</v>
      </c>
      <c r="V462" s="296">
        <v>2019</v>
      </c>
    </row>
    <row r="463" spans="1:22" ht="60">
      <c r="A463" s="70">
        <v>46</v>
      </c>
      <c r="B463" s="74" t="s">
        <v>106</v>
      </c>
      <c r="C463" s="35">
        <v>1984</v>
      </c>
      <c r="D463" s="35"/>
      <c r="E463" s="105" t="s">
        <v>494</v>
      </c>
      <c r="F463" s="35">
        <v>5</v>
      </c>
      <c r="G463" s="35">
        <v>3</v>
      </c>
      <c r="H463" s="29">
        <v>1275.4</v>
      </c>
      <c r="I463" s="105">
        <v>1275.4</v>
      </c>
      <c r="J463" s="105">
        <v>1275.4</v>
      </c>
      <c r="K463" s="36">
        <v>48</v>
      </c>
      <c r="L463" s="24" t="s">
        <v>237</v>
      </c>
      <c r="M463" s="37">
        <v>3776608.53</v>
      </c>
      <c r="N463" s="37"/>
      <c r="O463" s="37"/>
      <c r="P463" s="37"/>
      <c r="Q463" s="37">
        <v>3776608.53</v>
      </c>
      <c r="R463" s="37">
        <f t="shared" si="35"/>
        <v>2961.116928022581</v>
      </c>
      <c r="S463" s="131">
        <v>14736.15</v>
      </c>
      <c r="T463" s="37" t="s">
        <v>1359</v>
      </c>
      <c r="U463" s="118">
        <v>6.3</v>
      </c>
      <c r="V463" s="296">
        <v>2019</v>
      </c>
    </row>
    <row r="464" spans="1:22" ht="15">
      <c r="A464" s="129"/>
      <c r="B464" s="157" t="s">
        <v>837</v>
      </c>
      <c r="C464" s="31"/>
      <c r="D464" s="31"/>
      <c r="E464" s="31"/>
      <c r="F464" s="31"/>
      <c r="G464" s="31"/>
      <c r="H464" s="81">
        <f>SUM(H458:H463)</f>
        <v>4539.46</v>
      </c>
      <c r="I464" s="81">
        <f aca="true" t="shared" si="36" ref="I464:Q464">SUM(I458:I463)</f>
        <v>4539.46</v>
      </c>
      <c r="J464" s="81">
        <f t="shared" si="36"/>
        <v>4072.05</v>
      </c>
      <c r="K464" s="98">
        <f t="shared" si="36"/>
        <v>202</v>
      </c>
      <c r="L464" s="81"/>
      <c r="M464" s="81">
        <f t="shared" si="36"/>
        <v>7667065.52</v>
      </c>
      <c r="N464" s="81"/>
      <c r="O464" s="81"/>
      <c r="P464" s="81"/>
      <c r="Q464" s="81">
        <f t="shared" si="36"/>
        <v>7667065.52</v>
      </c>
      <c r="R464" s="81">
        <f t="shared" si="35"/>
        <v>1688.9818436554126</v>
      </c>
      <c r="S464" s="31"/>
      <c r="T464" s="31"/>
      <c r="U464" s="156"/>
      <c r="V464" s="296"/>
    </row>
    <row r="465" spans="1:22" ht="15">
      <c r="A465" s="300" t="s">
        <v>1362</v>
      </c>
      <c r="B465" s="301"/>
      <c r="C465" s="301"/>
      <c r="D465" s="301"/>
      <c r="E465" s="301"/>
      <c r="F465" s="301"/>
      <c r="G465" s="301"/>
      <c r="H465" s="301"/>
      <c r="I465" s="301"/>
      <c r="J465" s="301"/>
      <c r="K465" s="301"/>
      <c r="L465" s="301"/>
      <c r="M465" s="301"/>
      <c r="N465" s="301"/>
      <c r="O465" s="301"/>
      <c r="P465" s="301"/>
      <c r="Q465" s="302"/>
      <c r="R465" s="301"/>
      <c r="S465" s="301"/>
      <c r="T465" s="301"/>
      <c r="U465" s="303"/>
      <c r="V465" s="296"/>
    </row>
    <row r="466" spans="1:22" ht="45">
      <c r="A466" s="70">
        <v>47</v>
      </c>
      <c r="B466" s="107" t="s">
        <v>637</v>
      </c>
      <c r="C466" s="24">
        <v>1976</v>
      </c>
      <c r="D466" s="24">
        <v>2009</v>
      </c>
      <c r="E466" s="24" t="s">
        <v>374</v>
      </c>
      <c r="F466" s="24">
        <v>2</v>
      </c>
      <c r="G466" s="24">
        <v>1</v>
      </c>
      <c r="H466" s="29">
        <v>466.8</v>
      </c>
      <c r="I466" s="29">
        <v>466.8</v>
      </c>
      <c r="J466" s="29">
        <v>466.8</v>
      </c>
      <c r="K466" s="36">
        <v>19</v>
      </c>
      <c r="L466" s="24" t="s">
        <v>384</v>
      </c>
      <c r="M466" s="37">
        <v>242824.82</v>
      </c>
      <c r="N466" s="31"/>
      <c r="O466" s="31"/>
      <c r="P466" s="31"/>
      <c r="Q466" s="37">
        <v>242824.82</v>
      </c>
      <c r="R466" s="29">
        <f>M466/I466</f>
        <v>520.1902742073693</v>
      </c>
      <c r="S466" s="29">
        <v>14736.15</v>
      </c>
      <c r="T466" s="24" t="s">
        <v>1359</v>
      </c>
      <c r="U466" s="118">
        <v>6.3</v>
      </c>
      <c r="V466" s="296">
        <v>2019</v>
      </c>
    </row>
    <row r="467" spans="1:22" ht="45">
      <c r="A467" s="70">
        <v>48</v>
      </c>
      <c r="B467" s="107" t="s">
        <v>37</v>
      </c>
      <c r="C467" s="24">
        <v>1987</v>
      </c>
      <c r="D467" s="24">
        <v>2005</v>
      </c>
      <c r="E467" s="24" t="s">
        <v>494</v>
      </c>
      <c r="F467" s="24">
        <v>3</v>
      </c>
      <c r="G467" s="24">
        <v>2</v>
      </c>
      <c r="H467" s="29">
        <v>1318.4</v>
      </c>
      <c r="I467" s="29">
        <v>1318.4</v>
      </c>
      <c r="J467" s="29">
        <v>1318.4</v>
      </c>
      <c r="K467" s="36">
        <v>64</v>
      </c>
      <c r="L467" s="76" t="s">
        <v>1525</v>
      </c>
      <c r="M467" s="37">
        <v>2582199.61</v>
      </c>
      <c r="N467" s="31"/>
      <c r="O467" s="31"/>
      <c r="P467" s="31"/>
      <c r="Q467" s="37">
        <v>2582199.61</v>
      </c>
      <c r="R467" s="160">
        <f>M467/I467</f>
        <v>1958.5858692354366</v>
      </c>
      <c r="S467" s="30">
        <v>14736.15</v>
      </c>
      <c r="T467" s="27" t="s">
        <v>1359</v>
      </c>
      <c r="U467" s="146">
        <v>6.3</v>
      </c>
      <c r="V467" s="296">
        <v>2019</v>
      </c>
    </row>
    <row r="468" spans="1:22" ht="15">
      <c r="A468" s="155"/>
      <c r="B468" s="130" t="s">
        <v>76</v>
      </c>
      <c r="C468" s="79"/>
      <c r="D468" s="79"/>
      <c r="E468" s="79"/>
      <c r="F468" s="79"/>
      <c r="G468" s="79"/>
      <c r="H468" s="96">
        <f>SUM(H466:H467)</f>
        <v>1785.2</v>
      </c>
      <c r="I468" s="96">
        <f>SUM(I466:I467)</f>
        <v>1785.2</v>
      </c>
      <c r="J468" s="96">
        <f>SUM(J466:J467)</f>
        <v>1785.2</v>
      </c>
      <c r="K468" s="98">
        <f>SUM(K466:K467)</f>
        <v>83</v>
      </c>
      <c r="L468" s="130"/>
      <c r="M468" s="81">
        <f>SUM(M466:M467)</f>
        <v>2825024.4299999997</v>
      </c>
      <c r="N468" s="130"/>
      <c r="O468" s="130"/>
      <c r="P468" s="130"/>
      <c r="Q468" s="81">
        <f>SUM(Q466:Q467)</f>
        <v>2825024.4299999997</v>
      </c>
      <c r="R468" s="96">
        <f>M468/I468</f>
        <v>1582.4694319964149</v>
      </c>
      <c r="S468" s="29"/>
      <c r="T468" s="24"/>
      <c r="U468" s="156"/>
      <c r="V468" s="296"/>
    </row>
    <row r="469" spans="1:22" ht="15">
      <c r="A469" s="300" t="s">
        <v>375</v>
      </c>
      <c r="B469" s="301"/>
      <c r="C469" s="301"/>
      <c r="D469" s="301"/>
      <c r="E469" s="301"/>
      <c r="F469" s="301"/>
      <c r="G469" s="301"/>
      <c r="H469" s="301"/>
      <c r="I469" s="301"/>
      <c r="J469" s="301"/>
      <c r="K469" s="301"/>
      <c r="L469" s="301"/>
      <c r="M469" s="301"/>
      <c r="N469" s="301"/>
      <c r="O469" s="301"/>
      <c r="P469" s="301"/>
      <c r="Q469" s="301"/>
      <c r="R469" s="301"/>
      <c r="S469" s="301"/>
      <c r="T469" s="301"/>
      <c r="U469" s="303"/>
      <c r="V469" s="296"/>
    </row>
    <row r="470" spans="1:22" ht="45">
      <c r="A470" s="70">
        <v>49</v>
      </c>
      <c r="B470" s="107" t="s">
        <v>638</v>
      </c>
      <c r="C470" s="24">
        <v>1991</v>
      </c>
      <c r="D470" s="24"/>
      <c r="E470" s="24" t="s">
        <v>374</v>
      </c>
      <c r="F470" s="24">
        <v>3</v>
      </c>
      <c r="G470" s="24">
        <v>3</v>
      </c>
      <c r="H470" s="29">
        <v>1474.9</v>
      </c>
      <c r="I470" s="24">
        <v>1319.81</v>
      </c>
      <c r="J470" s="24">
        <v>1272.51</v>
      </c>
      <c r="K470" s="36">
        <v>40</v>
      </c>
      <c r="L470" s="24" t="s">
        <v>384</v>
      </c>
      <c r="M470" s="37">
        <v>617921.16</v>
      </c>
      <c r="N470" s="24"/>
      <c r="O470" s="24"/>
      <c r="P470" s="24"/>
      <c r="Q470" s="37">
        <v>617921.16</v>
      </c>
      <c r="R470" s="29">
        <f>M470/I470</f>
        <v>468.1894818193528</v>
      </c>
      <c r="S470" s="24">
        <v>14736.15</v>
      </c>
      <c r="T470" s="24" t="s">
        <v>1359</v>
      </c>
      <c r="U470" s="83">
        <v>6.3</v>
      </c>
      <c r="V470" s="296">
        <v>2019</v>
      </c>
    </row>
    <row r="471" spans="1:22" ht="45">
      <c r="A471" s="70">
        <v>50</v>
      </c>
      <c r="B471" s="137" t="s">
        <v>664</v>
      </c>
      <c r="C471" s="67">
        <v>1980</v>
      </c>
      <c r="D471" s="67"/>
      <c r="E471" s="67" t="s">
        <v>374</v>
      </c>
      <c r="F471" s="67">
        <v>2</v>
      </c>
      <c r="G471" s="67">
        <v>3</v>
      </c>
      <c r="H471" s="67">
        <v>973.27</v>
      </c>
      <c r="I471" s="67">
        <v>879.12</v>
      </c>
      <c r="J471" s="67">
        <v>879.12</v>
      </c>
      <c r="K471" s="36">
        <v>35</v>
      </c>
      <c r="L471" s="67" t="s">
        <v>489</v>
      </c>
      <c r="M471" s="37">
        <v>3204402.24</v>
      </c>
      <c r="N471" s="161"/>
      <c r="O471" s="161"/>
      <c r="P471" s="161"/>
      <c r="Q471" s="37">
        <v>3204402.24</v>
      </c>
      <c r="R471" s="29">
        <f>M471/I471</f>
        <v>3645.0111930111934</v>
      </c>
      <c r="S471" s="24">
        <v>14736.15</v>
      </c>
      <c r="T471" s="24" t="s">
        <v>1359</v>
      </c>
      <c r="U471" s="83">
        <v>6.3</v>
      </c>
      <c r="V471" s="296">
        <v>2019</v>
      </c>
    </row>
    <row r="472" spans="1:22" ht="45">
      <c r="A472" s="70">
        <v>51</v>
      </c>
      <c r="B472" s="137" t="s">
        <v>1484</v>
      </c>
      <c r="C472" s="67">
        <v>1966</v>
      </c>
      <c r="D472" s="67">
        <v>2016</v>
      </c>
      <c r="E472" s="67" t="s">
        <v>374</v>
      </c>
      <c r="F472" s="67">
        <v>2</v>
      </c>
      <c r="G472" s="67">
        <v>2</v>
      </c>
      <c r="H472" s="67">
        <v>408.27</v>
      </c>
      <c r="I472" s="67">
        <v>364.27</v>
      </c>
      <c r="J472" s="67">
        <v>364.27</v>
      </c>
      <c r="K472" s="36">
        <v>40</v>
      </c>
      <c r="L472" s="67" t="s">
        <v>1351</v>
      </c>
      <c r="M472" s="37">
        <v>1480428.35</v>
      </c>
      <c r="N472" s="161"/>
      <c r="O472" s="161"/>
      <c r="P472" s="161"/>
      <c r="Q472" s="37">
        <v>1480428.35</v>
      </c>
      <c r="R472" s="29">
        <f>M472/I472</f>
        <v>4064.0962747412636</v>
      </c>
      <c r="S472" s="24">
        <v>14736.15</v>
      </c>
      <c r="T472" s="24" t="s">
        <v>1359</v>
      </c>
      <c r="U472" s="83">
        <v>6.3</v>
      </c>
      <c r="V472" s="296">
        <v>2019</v>
      </c>
    </row>
    <row r="473" spans="1:22" ht="15">
      <c r="A473" s="129"/>
      <c r="B473" s="112" t="s">
        <v>1610</v>
      </c>
      <c r="C473" s="24"/>
      <c r="D473" s="24"/>
      <c r="E473" s="24"/>
      <c r="F473" s="24"/>
      <c r="G473" s="24"/>
      <c r="H473" s="81">
        <f>SUM(H470:H472)</f>
        <v>2856.44</v>
      </c>
      <c r="I473" s="81">
        <f>SUM(I470:I472)</f>
        <v>2563.2</v>
      </c>
      <c r="J473" s="81">
        <f>SUM(J470:J472)</f>
        <v>2515.9</v>
      </c>
      <c r="K473" s="98">
        <f>SUM(K470:K472)</f>
        <v>115</v>
      </c>
      <c r="L473" s="81"/>
      <c r="M473" s="81">
        <f>SUM(M470:M472)</f>
        <v>5302751.75</v>
      </c>
      <c r="N473" s="81"/>
      <c r="O473" s="81"/>
      <c r="P473" s="81"/>
      <c r="Q473" s="81">
        <f>SUM(Q470:Q472)</f>
        <v>5302751.75</v>
      </c>
      <c r="R473" s="113">
        <f>M473/I473</f>
        <v>2068.801400593009</v>
      </c>
      <c r="S473" s="29"/>
      <c r="T473" s="76"/>
      <c r="U473" s="162"/>
      <c r="V473" s="296"/>
    </row>
    <row r="474" spans="1:22" ht="15">
      <c r="A474" s="300" t="s">
        <v>385</v>
      </c>
      <c r="B474" s="301"/>
      <c r="C474" s="301"/>
      <c r="D474" s="301"/>
      <c r="E474" s="301"/>
      <c r="F474" s="301"/>
      <c r="G474" s="301"/>
      <c r="H474" s="301"/>
      <c r="I474" s="301"/>
      <c r="J474" s="301"/>
      <c r="K474" s="301"/>
      <c r="L474" s="301"/>
      <c r="M474" s="301"/>
      <c r="N474" s="301"/>
      <c r="O474" s="301"/>
      <c r="P474" s="301"/>
      <c r="Q474" s="302"/>
      <c r="R474" s="301"/>
      <c r="S474" s="301"/>
      <c r="T474" s="301"/>
      <c r="U474" s="303"/>
      <c r="V474" s="296"/>
    </row>
    <row r="475" spans="1:22" ht="45">
      <c r="A475" s="86">
        <v>52</v>
      </c>
      <c r="B475" s="88" t="s">
        <v>639</v>
      </c>
      <c r="C475" s="24">
        <v>1985</v>
      </c>
      <c r="D475" s="24"/>
      <c r="E475" s="24" t="s">
        <v>374</v>
      </c>
      <c r="F475" s="24">
        <v>2</v>
      </c>
      <c r="G475" s="24">
        <v>1</v>
      </c>
      <c r="H475" s="37">
        <v>373</v>
      </c>
      <c r="I475" s="37">
        <v>339.4</v>
      </c>
      <c r="J475" s="37">
        <v>339.4</v>
      </c>
      <c r="K475" s="36">
        <v>16</v>
      </c>
      <c r="L475" s="24" t="s">
        <v>384</v>
      </c>
      <c r="M475" s="37">
        <v>180485.46</v>
      </c>
      <c r="N475" s="37"/>
      <c r="O475" s="37"/>
      <c r="P475" s="37"/>
      <c r="Q475" s="37">
        <v>180485.46</v>
      </c>
      <c r="R475" s="29">
        <f aca="true" t="shared" si="37" ref="R475:R487">M475/I475</f>
        <v>531.7780200353566</v>
      </c>
      <c r="S475" s="29">
        <v>14736.15</v>
      </c>
      <c r="T475" s="24" t="s">
        <v>1359</v>
      </c>
      <c r="U475" s="83">
        <v>6.3</v>
      </c>
      <c r="V475" s="296">
        <v>2019</v>
      </c>
    </row>
    <row r="476" spans="1:22" ht="45">
      <c r="A476" s="86">
        <v>53</v>
      </c>
      <c r="B476" s="88" t="s">
        <v>640</v>
      </c>
      <c r="C476" s="24">
        <v>1984</v>
      </c>
      <c r="D476" s="24"/>
      <c r="E476" s="24" t="s">
        <v>374</v>
      </c>
      <c r="F476" s="24">
        <v>2</v>
      </c>
      <c r="G476" s="24">
        <v>2</v>
      </c>
      <c r="H476" s="37">
        <v>624.4</v>
      </c>
      <c r="I476" s="37">
        <v>601.8</v>
      </c>
      <c r="J476" s="37">
        <v>371.9</v>
      </c>
      <c r="K476" s="36">
        <v>22</v>
      </c>
      <c r="L476" s="24" t="s">
        <v>384</v>
      </c>
      <c r="M476" s="37">
        <v>387118.48</v>
      </c>
      <c r="N476" s="37"/>
      <c r="O476" s="37"/>
      <c r="P476" s="37"/>
      <c r="Q476" s="37">
        <v>387118.48</v>
      </c>
      <c r="R476" s="29">
        <f t="shared" si="37"/>
        <v>643.2676636756397</v>
      </c>
      <c r="S476" s="29">
        <v>14736.15</v>
      </c>
      <c r="T476" s="24" t="s">
        <v>1359</v>
      </c>
      <c r="U476" s="83">
        <v>6.3</v>
      </c>
      <c r="V476" s="296">
        <v>2019</v>
      </c>
    </row>
    <row r="477" spans="1:22" ht="45">
      <c r="A477" s="86">
        <v>54</v>
      </c>
      <c r="B477" s="88" t="s">
        <v>38</v>
      </c>
      <c r="C477" s="24">
        <v>1983</v>
      </c>
      <c r="D477" s="24"/>
      <c r="E477" s="24" t="s">
        <v>494</v>
      </c>
      <c r="F477" s="24">
        <v>2</v>
      </c>
      <c r="G477" s="24">
        <v>2</v>
      </c>
      <c r="H477" s="37">
        <v>422.6</v>
      </c>
      <c r="I477" s="37">
        <v>369.9</v>
      </c>
      <c r="J477" s="37">
        <v>369.9</v>
      </c>
      <c r="K477" s="36">
        <v>20</v>
      </c>
      <c r="L477" s="24" t="s">
        <v>496</v>
      </c>
      <c r="M477" s="37">
        <v>1159241.51</v>
      </c>
      <c r="N477" s="37"/>
      <c r="O477" s="37"/>
      <c r="P477" s="37"/>
      <c r="Q477" s="37">
        <v>1159241.51</v>
      </c>
      <c r="R477" s="29">
        <f t="shared" si="37"/>
        <v>3133.9321708569887</v>
      </c>
      <c r="S477" s="29">
        <v>14736.15</v>
      </c>
      <c r="T477" s="24" t="s">
        <v>1359</v>
      </c>
      <c r="U477" s="83">
        <v>6.3</v>
      </c>
      <c r="V477" s="296">
        <v>2019</v>
      </c>
    </row>
    <row r="478" spans="1:22" ht="45">
      <c r="A478" s="86">
        <v>55</v>
      </c>
      <c r="B478" s="88" t="s">
        <v>39</v>
      </c>
      <c r="C478" s="24">
        <v>1983</v>
      </c>
      <c r="D478" s="24"/>
      <c r="E478" s="24" t="s">
        <v>494</v>
      </c>
      <c r="F478" s="24">
        <v>3</v>
      </c>
      <c r="G478" s="24">
        <v>2</v>
      </c>
      <c r="H478" s="37">
        <v>947.94</v>
      </c>
      <c r="I478" s="37">
        <v>850.04</v>
      </c>
      <c r="J478" s="37">
        <v>766.94</v>
      </c>
      <c r="K478" s="36">
        <v>42</v>
      </c>
      <c r="L478" s="24" t="s">
        <v>384</v>
      </c>
      <c r="M478" s="37">
        <v>571952.6</v>
      </c>
      <c r="N478" s="37"/>
      <c r="O478" s="37"/>
      <c r="P478" s="37"/>
      <c r="Q478" s="37">
        <v>571952.6</v>
      </c>
      <c r="R478" s="29">
        <f t="shared" si="37"/>
        <v>672.8537480589149</v>
      </c>
      <c r="S478" s="29">
        <v>14736.15</v>
      </c>
      <c r="T478" s="24" t="s">
        <v>1359</v>
      </c>
      <c r="U478" s="83">
        <v>6.3</v>
      </c>
      <c r="V478" s="296">
        <v>2019</v>
      </c>
    </row>
    <row r="479" spans="1:22" ht="45">
      <c r="A479" s="86">
        <v>56</v>
      </c>
      <c r="B479" s="88" t="s">
        <v>40</v>
      </c>
      <c r="C479" s="24">
        <v>1983</v>
      </c>
      <c r="D479" s="24"/>
      <c r="E479" s="24" t="s">
        <v>494</v>
      </c>
      <c r="F479" s="24">
        <v>3</v>
      </c>
      <c r="G479" s="24">
        <v>2</v>
      </c>
      <c r="H479" s="37">
        <v>935.9</v>
      </c>
      <c r="I479" s="37">
        <v>838</v>
      </c>
      <c r="J479" s="37">
        <v>708</v>
      </c>
      <c r="K479" s="36">
        <v>37</v>
      </c>
      <c r="L479" s="24" t="s">
        <v>384</v>
      </c>
      <c r="M479" s="37">
        <v>475212.58</v>
      </c>
      <c r="N479" s="37"/>
      <c r="O479" s="37"/>
      <c r="P479" s="37"/>
      <c r="Q479" s="37">
        <v>475212.58</v>
      </c>
      <c r="R479" s="29">
        <f t="shared" si="37"/>
        <v>567.0794510739858</v>
      </c>
      <c r="S479" s="29">
        <v>14736.15</v>
      </c>
      <c r="T479" s="24" t="s">
        <v>1359</v>
      </c>
      <c r="U479" s="83">
        <v>6.3</v>
      </c>
      <c r="V479" s="296">
        <v>2019</v>
      </c>
    </row>
    <row r="480" spans="1:22" ht="45">
      <c r="A480" s="86">
        <v>57</v>
      </c>
      <c r="B480" s="88" t="s">
        <v>641</v>
      </c>
      <c r="C480" s="24">
        <v>1983</v>
      </c>
      <c r="D480" s="24"/>
      <c r="E480" s="24" t="s">
        <v>374</v>
      </c>
      <c r="F480" s="24">
        <v>2</v>
      </c>
      <c r="G480" s="24">
        <v>3</v>
      </c>
      <c r="H480" s="37">
        <v>1065.6</v>
      </c>
      <c r="I480" s="37">
        <v>933.8</v>
      </c>
      <c r="J480" s="37">
        <v>858.2</v>
      </c>
      <c r="K480" s="36">
        <v>34</v>
      </c>
      <c r="L480" s="24" t="s">
        <v>72</v>
      </c>
      <c r="M480" s="37">
        <v>323139.02</v>
      </c>
      <c r="N480" s="37"/>
      <c r="O480" s="37"/>
      <c r="P480" s="37"/>
      <c r="Q480" s="37">
        <v>323139.02</v>
      </c>
      <c r="R480" s="29">
        <f t="shared" si="37"/>
        <v>346.0473548939816</v>
      </c>
      <c r="S480" s="29">
        <v>14736.15</v>
      </c>
      <c r="T480" s="24" t="s">
        <v>1359</v>
      </c>
      <c r="U480" s="83">
        <v>6.3</v>
      </c>
      <c r="V480" s="296">
        <v>2019</v>
      </c>
    </row>
    <row r="481" spans="1:22" ht="45">
      <c r="A481" s="86">
        <v>58</v>
      </c>
      <c r="B481" s="88" t="s">
        <v>727</v>
      </c>
      <c r="C481" s="24">
        <v>1983</v>
      </c>
      <c r="D481" s="24"/>
      <c r="E481" s="24" t="s">
        <v>494</v>
      </c>
      <c r="F481" s="24">
        <v>2</v>
      </c>
      <c r="G481" s="24">
        <v>3</v>
      </c>
      <c r="H481" s="37">
        <v>935.7</v>
      </c>
      <c r="I481" s="37">
        <v>846.9</v>
      </c>
      <c r="J481" s="37">
        <v>729.5</v>
      </c>
      <c r="K481" s="36">
        <v>29</v>
      </c>
      <c r="L481" s="24" t="s">
        <v>489</v>
      </c>
      <c r="M481" s="37">
        <v>992316.66</v>
      </c>
      <c r="N481" s="37"/>
      <c r="O481" s="37"/>
      <c r="P481" s="37"/>
      <c r="Q481" s="37">
        <v>992316.66</v>
      </c>
      <c r="R481" s="29">
        <f t="shared" si="37"/>
        <v>1171.7046404534185</v>
      </c>
      <c r="S481" s="29">
        <v>14736.15</v>
      </c>
      <c r="T481" s="24" t="s">
        <v>1359</v>
      </c>
      <c r="U481" s="83">
        <v>6.3</v>
      </c>
      <c r="V481" s="296">
        <v>2019</v>
      </c>
    </row>
    <row r="482" spans="1:22" ht="45">
      <c r="A482" s="86">
        <v>59</v>
      </c>
      <c r="B482" s="88" t="s">
        <v>642</v>
      </c>
      <c r="C482" s="24">
        <v>1968</v>
      </c>
      <c r="D482" s="24"/>
      <c r="E482" s="24" t="s">
        <v>374</v>
      </c>
      <c r="F482" s="24">
        <v>2</v>
      </c>
      <c r="G482" s="24">
        <v>2</v>
      </c>
      <c r="H482" s="37">
        <v>753.1</v>
      </c>
      <c r="I482" s="37">
        <v>694.9</v>
      </c>
      <c r="J482" s="37">
        <v>639.7</v>
      </c>
      <c r="K482" s="36">
        <v>41</v>
      </c>
      <c r="L482" s="24" t="s">
        <v>489</v>
      </c>
      <c r="M482" s="37">
        <v>1957540.1</v>
      </c>
      <c r="N482" s="37"/>
      <c r="O482" s="37"/>
      <c r="P482" s="37"/>
      <c r="Q482" s="37">
        <v>1957540.1</v>
      </c>
      <c r="R482" s="29">
        <f t="shared" si="37"/>
        <v>2817.0097855806594</v>
      </c>
      <c r="S482" s="29">
        <v>14736.15</v>
      </c>
      <c r="T482" s="24" t="s">
        <v>1359</v>
      </c>
      <c r="U482" s="83">
        <v>6.3</v>
      </c>
      <c r="V482" s="296">
        <v>2019</v>
      </c>
    </row>
    <row r="483" spans="1:22" ht="45">
      <c r="A483" s="86">
        <v>60</v>
      </c>
      <c r="B483" s="88" t="s">
        <v>401</v>
      </c>
      <c r="C483" s="24">
        <v>1990</v>
      </c>
      <c r="D483" s="24"/>
      <c r="E483" s="24" t="s">
        <v>374</v>
      </c>
      <c r="F483" s="24">
        <v>5</v>
      </c>
      <c r="G483" s="24">
        <v>6</v>
      </c>
      <c r="H483" s="37">
        <v>4490.2</v>
      </c>
      <c r="I483" s="37">
        <v>4063.4</v>
      </c>
      <c r="J483" s="37">
        <v>1976</v>
      </c>
      <c r="K483" s="36">
        <v>181</v>
      </c>
      <c r="L483" s="24" t="s">
        <v>489</v>
      </c>
      <c r="M483" s="37">
        <v>2164623.53</v>
      </c>
      <c r="N483" s="37"/>
      <c r="O483" s="37"/>
      <c r="P483" s="37"/>
      <c r="Q483" s="37">
        <v>2164623.53</v>
      </c>
      <c r="R483" s="29">
        <f t="shared" si="37"/>
        <v>532.7123911010483</v>
      </c>
      <c r="S483" s="29">
        <v>14736.15</v>
      </c>
      <c r="T483" s="24" t="s">
        <v>1359</v>
      </c>
      <c r="U483" s="83">
        <v>6.3</v>
      </c>
      <c r="V483" s="296">
        <v>2019</v>
      </c>
    </row>
    <row r="484" spans="1:22" ht="45">
      <c r="A484" s="86">
        <v>61</v>
      </c>
      <c r="B484" s="88" t="s">
        <v>643</v>
      </c>
      <c r="C484" s="24">
        <v>1989</v>
      </c>
      <c r="D484" s="24"/>
      <c r="E484" s="24" t="s">
        <v>374</v>
      </c>
      <c r="F484" s="24">
        <v>5</v>
      </c>
      <c r="G484" s="24">
        <v>6</v>
      </c>
      <c r="H484" s="37">
        <v>4920.9</v>
      </c>
      <c r="I484" s="37">
        <v>4476.8</v>
      </c>
      <c r="J484" s="37">
        <v>3305.9</v>
      </c>
      <c r="K484" s="36">
        <v>182</v>
      </c>
      <c r="L484" s="24" t="s">
        <v>489</v>
      </c>
      <c r="M484" s="37">
        <v>2694610.52</v>
      </c>
      <c r="N484" s="37"/>
      <c r="O484" s="37"/>
      <c r="P484" s="37"/>
      <c r="Q484" s="37">
        <v>2694610.52</v>
      </c>
      <c r="R484" s="29">
        <f t="shared" si="37"/>
        <v>601.905494996426</v>
      </c>
      <c r="S484" s="29">
        <v>14736.15</v>
      </c>
      <c r="T484" s="24" t="s">
        <v>1359</v>
      </c>
      <c r="U484" s="83">
        <v>6.3</v>
      </c>
      <c r="V484" s="296">
        <v>2019</v>
      </c>
    </row>
    <row r="485" spans="1:22" ht="45">
      <c r="A485" s="86">
        <v>62</v>
      </c>
      <c r="B485" s="88" t="s">
        <v>644</v>
      </c>
      <c r="C485" s="24">
        <v>1977</v>
      </c>
      <c r="D485" s="24"/>
      <c r="E485" s="24" t="s">
        <v>374</v>
      </c>
      <c r="F485" s="24">
        <v>2</v>
      </c>
      <c r="G485" s="24">
        <v>3</v>
      </c>
      <c r="H485" s="37">
        <v>955.9</v>
      </c>
      <c r="I485" s="37">
        <v>883.1</v>
      </c>
      <c r="J485" s="37">
        <v>566.4</v>
      </c>
      <c r="K485" s="36">
        <v>37</v>
      </c>
      <c r="L485" s="24" t="s">
        <v>489</v>
      </c>
      <c r="M485" s="37">
        <v>2286486.74</v>
      </c>
      <c r="N485" s="37"/>
      <c r="O485" s="37"/>
      <c r="P485" s="37"/>
      <c r="Q485" s="37">
        <v>2286486.74</v>
      </c>
      <c r="R485" s="29">
        <f t="shared" si="37"/>
        <v>2589.1594836371873</v>
      </c>
      <c r="S485" s="29">
        <v>14736.15</v>
      </c>
      <c r="T485" s="24" t="s">
        <v>1359</v>
      </c>
      <c r="U485" s="83">
        <v>6.3</v>
      </c>
      <c r="V485" s="296">
        <v>2019</v>
      </c>
    </row>
    <row r="486" spans="1:22" ht="45">
      <c r="A486" s="86">
        <v>63</v>
      </c>
      <c r="B486" s="88" t="s">
        <v>645</v>
      </c>
      <c r="C486" s="24">
        <v>1988</v>
      </c>
      <c r="D486" s="24"/>
      <c r="E486" s="24" t="s">
        <v>374</v>
      </c>
      <c r="F486" s="24">
        <v>5</v>
      </c>
      <c r="G486" s="24">
        <v>6</v>
      </c>
      <c r="H486" s="37">
        <v>4461.1</v>
      </c>
      <c r="I486" s="37">
        <v>4127.8</v>
      </c>
      <c r="J486" s="37">
        <v>4019.3</v>
      </c>
      <c r="K486" s="36">
        <v>174</v>
      </c>
      <c r="L486" s="24" t="s">
        <v>496</v>
      </c>
      <c r="M486" s="37">
        <v>3938345.03</v>
      </c>
      <c r="N486" s="37"/>
      <c r="O486" s="37"/>
      <c r="P486" s="37"/>
      <c r="Q486" s="37">
        <v>3938345.03</v>
      </c>
      <c r="R486" s="29">
        <f t="shared" si="37"/>
        <v>954.1026769707834</v>
      </c>
      <c r="S486" s="29">
        <v>14736.15</v>
      </c>
      <c r="T486" s="24" t="s">
        <v>1359</v>
      </c>
      <c r="U486" s="83">
        <v>6.3</v>
      </c>
      <c r="V486" s="296">
        <v>2019</v>
      </c>
    </row>
    <row r="487" spans="1:22" ht="15">
      <c r="A487" s="129"/>
      <c r="B487" s="112" t="s">
        <v>554</v>
      </c>
      <c r="C487" s="24"/>
      <c r="D487" s="24"/>
      <c r="E487" s="24"/>
      <c r="F487" s="24"/>
      <c r="G487" s="24"/>
      <c r="H487" s="81">
        <f>SUM(H475:H486)</f>
        <v>20886.340000000004</v>
      </c>
      <c r="I487" s="81">
        <f aca="true" t="shared" si="38" ref="I487:Q487">SUM(I475:I486)</f>
        <v>19025.84</v>
      </c>
      <c r="J487" s="81">
        <f t="shared" si="38"/>
        <v>14651.14</v>
      </c>
      <c r="K487" s="98">
        <f t="shared" si="38"/>
        <v>815</v>
      </c>
      <c r="L487" s="81"/>
      <c r="M487" s="81">
        <f t="shared" si="38"/>
        <v>17131072.23</v>
      </c>
      <c r="N487" s="81"/>
      <c r="O487" s="81"/>
      <c r="P487" s="81"/>
      <c r="Q487" s="81">
        <f t="shared" si="38"/>
        <v>17131072.23</v>
      </c>
      <c r="R487" s="96">
        <f t="shared" si="37"/>
        <v>900.410821808656</v>
      </c>
      <c r="S487" s="29"/>
      <c r="T487" s="76"/>
      <c r="U487" s="142"/>
      <c r="V487" s="296"/>
    </row>
    <row r="488" spans="1:22" ht="15">
      <c r="A488" s="300" t="s">
        <v>1376</v>
      </c>
      <c r="B488" s="301"/>
      <c r="C488" s="301"/>
      <c r="D488" s="301"/>
      <c r="E488" s="301"/>
      <c r="F488" s="301"/>
      <c r="G488" s="301"/>
      <c r="H488" s="301"/>
      <c r="I488" s="301"/>
      <c r="J488" s="301"/>
      <c r="K488" s="301"/>
      <c r="L488" s="301"/>
      <c r="M488" s="301"/>
      <c r="N488" s="301"/>
      <c r="O488" s="301"/>
      <c r="P488" s="301"/>
      <c r="Q488" s="302"/>
      <c r="R488" s="301"/>
      <c r="S488" s="301"/>
      <c r="T488" s="301"/>
      <c r="U488" s="303"/>
      <c r="V488" s="296"/>
    </row>
    <row r="489" spans="1:22" ht="45">
      <c r="A489" s="86">
        <v>64</v>
      </c>
      <c r="B489" s="128" t="s">
        <v>143</v>
      </c>
      <c r="C489" s="24">
        <v>1977</v>
      </c>
      <c r="D489" s="24"/>
      <c r="E489" s="24" t="s">
        <v>374</v>
      </c>
      <c r="F489" s="24">
        <v>2</v>
      </c>
      <c r="G489" s="24">
        <v>1</v>
      </c>
      <c r="H489" s="37">
        <v>290.6</v>
      </c>
      <c r="I489" s="37">
        <v>273.4</v>
      </c>
      <c r="J489" s="37">
        <v>206.5</v>
      </c>
      <c r="K489" s="36">
        <v>12</v>
      </c>
      <c r="L489" s="24" t="s">
        <v>384</v>
      </c>
      <c r="M489" s="37">
        <v>165054.65</v>
      </c>
      <c r="N489" s="133"/>
      <c r="O489" s="133"/>
      <c r="P489" s="133"/>
      <c r="Q489" s="37">
        <v>165054.65</v>
      </c>
      <c r="R489" s="29">
        <f aca="true" t="shared" si="39" ref="R489:R505">M489/I489</f>
        <v>603.7112289685443</v>
      </c>
      <c r="S489" s="29">
        <v>14736.15</v>
      </c>
      <c r="T489" s="24" t="s">
        <v>1359</v>
      </c>
      <c r="U489" s="83">
        <v>6.3</v>
      </c>
      <c r="V489" s="296">
        <v>2019</v>
      </c>
    </row>
    <row r="490" spans="1:22" ht="45">
      <c r="A490" s="86">
        <v>65</v>
      </c>
      <c r="B490" s="128" t="s">
        <v>402</v>
      </c>
      <c r="C490" s="24">
        <v>1980</v>
      </c>
      <c r="D490" s="24"/>
      <c r="E490" s="24" t="s">
        <v>494</v>
      </c>
      <c r="F490" s="24">
        <v>3</v>
      </c>
      <c r="G490" s="24">
        <v>5</v>
      </c>
      <c r="H490" s="37">
        <v>2701.3</v>
      </c>
      <c r="I490" s="37">
        <v>2489.8</v>
      </c>
      <c r="J490" s="37">
        <v>2190.2</v>
      </c>
      <c r="K490" s="36">
        <v>111</v>
      </c>
      <c r="L490" s="24" t="s">
        <v>489</v>
      </c>
      <c r="M490" s="37">
        <v>1583918.56</v>
      </c>
      <c r="N490" s="133"/>
      <c r="O490" s="133"/>
      <c r="P490" s="133"/>
      <c r="Q490" s="37">
        <v>1583918.56</v>
      </c>
      <c r="R490" s="29">
        <f t="shared" si="39"/>
        <v>636.1629689131657</v>
      </c>
      <c r="S490" s="29">
        <v>14736.15</v>
      </c>
      <c r="T490" s="24" t="s">
        <v>1359</v>
      </c>
      <c r="U490" s="83">
        <v>6.3</v>
      </c>
      <c r="V490" s="296">
        <v>2019</v>
      </c>
    </row>
    <row r="491" spans="1:22" ht="45">
      <c r="A491" s="86">
        <v>66</v>
      </c>
      <c r="B491" s="128" t="s">
        <v>646</v>
      </c>
      <c r="C491" s="24">
        <v>1980</v>
      </c>
      <c r="D491" s="24"/>
      <c r="E491" s="24" t="s">
        <v>494</v>
      </c>
      <c r="F491" s="24">
        <v>3</v>
      </c>
      <c r="G491" s="24">
        <v>3</v>
      </c>
      <c r="H491" s="37">
        <v>1656.4</v>
      </c>
      <c r="I491" s="37">
        <v>1511.7</v>
      </c>
      <c r="J491" s="37">
        <v>1406.3</v>
      </c>
      <c r="K491" s="36">
        <v>67</v>
      </c>
      <c r="L491" s="24" t="s">
        <v>489</v>
      </c>
      <c r="M491" s="37">
        <v>913679.88</v>
      </c>
      <c r="N491" s="133"/>
      <c r="O491" s="133"/>
      <c r="P491" s="133"/>
      <c r="Q491" s="37">
        <v>913679.88</v>
      </c>
      <c r="R491" s="29">
        <f t="shared" si="39"/>
        <v>604.4055566580671</v>
      </c>
      <c r="S491" s="29">
        <v>14736.15</v>
      </c>
      <c r="T491" s="24" t="s">
        <v>1359</v>
      </c>
      <c r="U491" s="83">
        <v>6.3</v>
      </c>
      <c r="V491" s="296">
        <v>2019</v>
      </c>
    </row>
    <row r="492" spans="1:22" ht="180">
      <c r="A492" s="86">
        <v>67</v>
      </c>
      <c r="B492" s="128" t="s">
        <v>144</v>
      </c>
      <c r="C492" s="24">
        <v>1976</v>
      </c>
      <c r="D492" s="24"/>
      <c r="E492" s="24" t="s">
        <v>374</v>
      </c>
      <c r="F492" s="24">
        <v>2</v>
      </c>
      <c r="G492" s="24">
        <v>3</v>
      </c>
      <c r="H492" s="37">
        <v>1057.3</v>
      </c>
      <c r="I492" s="37">
        <v>958.3</v>
      </c>
      <c r="J492" s="37">
        <v>634.4</v>
      </c>
      <c r="K492" s="36">
        <v>49</v>
      </c>
      <c r="L492" s="24" t="s">
        <v>291</v>
      </c>
      <c r="M492" s="37">
        <v>3173656.88</v>
      </c>
      <c r="N492" s="133"/>
      <c r="O492" s="133"/>
      <c r="P492" s="133"/>
      <c r="Q492" s="37">
        <v>3173656.88</v>
      </c>
      <c r="R492" s="29">
        <f t="shared" si="39"/>
        <v>3311.7571532922884</v>
      </c>
      <c r="S492" s="29">
        <v>14736.15</v>
      </c>
      <c r="T492" s="24" t="s">
        <v>1359</v>
      </c>
      <c r="U492" s="83">
        <v>6.3</v>
      </c>
      <c r="V492" s="296">
        <v>2019</v>
      </c>
    </row>
    <row r="493" spans="1:22" ht="54.75" customHeight="1">
      <c r="A493" s="86">
        <v>68</v>
      </c>
      <c r="B493" s="128" t="s">
        <v>1019</v>
      </c>
      <c r="C493" s="24">
        <v>1979</v>
      </c>
      <c r="D493" s="24"/>
      <c r="E493" s="24" t="s">
        <v>374</v>
      </c>
      <c r="F493" s="24">
        <v>2</v>
      </c>
      <c r="G493" s="24">
        <v>2</v>
      </c>
      <c r="H493" s="37">
        <v>1160.43</v>
      </c>
      <c r="I493" s="37">
        <v>976.43</v>
      </c>
      <c r="J493" s="37">
        <v>539.2</v>
      </c>
      <c r="K493" s="36">
        <v>98</v>
      </c>
      <c r="L493" s="24" t="s">
        <v>515</v>
      </c>
      <c r="M493" s="37">
        <v>3031714.9</v>
      </c>
      <c r="N493" s="133"/>
      <c r="O493" s="133"/>
      <c r="P493" s="133"/>
      <c r="Q493" s="37">
        <v>3031714.9</v>
      </c>
      <c r="R493" s="29">
        <f t="shared" si="39"/>
        <v>3104.897330069744</v>
      </c>
      <c r="S493" s="29">
        <v>14736.15</v>
      </c>
      <c r="T493" s="24" t="s">
        <v>1359</v>
      </c>
      <c r="U493" s="83">
        <v>6.3</v>
      </c>
      <c r="V493" s="296">
        <v>2019</v>
      </c>
    </row>
    <row r="494" spans="1:22" ht="45">
      <c r="A494" s="86">
        <v>69</v>
      </c>
      <c r="B494" s="107" t="s">
        <v>1020</v>
      </c>
      <c r="C494" s="24">
        <v>1980</v>
      </c>
      <c r="D494" s="24"/>
      <c r="E494" s="24" t="s">
        <v>374</v>
      </c>
      <c r="F494" s="24">
        <v>5</v>
      </c>
      <c r="G494" s="24">
        <v>1</v>
      </c>
      <c r="H494" s="37">
        <v>1052.5</v>
      </c>
      <c r="I494" s="37">
        <v>965.9</v>
      </c>
      <c r="J494" s="37">
        <v>915.1</v>
      </c>
      <c r="K494" s="36">
        <v>38</v>
      </c>
      <c r="L494" s="24" t="s">
        <v>489</v>
      </c>
      <c r="M494" s="37">
        <v>701174.22</v>
      </c>
      <c r="N494" s="133"/>
      <c r="O494" s="133"/>
      <c r="P494" s="133"/>
      <c r="Q494" s="37">
        <v>701174.22</v>
      </c>
      <c r="R494" s="29">
        <f t="shared" si="39"/>
        <v>725.9283776788487</v>
      </c>
      <c r="S494" s="29">
        <v>14736.15</v>
      </c>
      <c r="T494" s="24" t="s">
        <v>1359</v>
      </c>
      <c r="U494" s="83">
        <v>6.3</v>
      </c>
      <c r="V494" s="296">
        <v>2019</v>
      </c>
    </row>
    <row r="495" spans="1:22" ht="45">
      <c r="A495" s="86">
        <v>70</v>
      </c>
      <c r="B495" s="128" t="s">
        <v>1021</v>
      </c>
      <c r="C495" s="24">
        <v>1980</v>
      </c>
      <c r="D495" s="24"/>
      <c r="E495" s="24" t="s">
        <v>374</v>
      </c>
      <c r="F495" s="24">
        <v>5</v>
      </c>
      <c r="G495" s="24">
        <v>1</v>
      </c>
      <c r="H495" s="37">
        <v>975.8</v>
      </c>
      <c r="I495" s="37">
        <v>888.9</v>
      </c>
      <c r="J495" s="37">
        <v>647.6</v>
      </c>
      <c r="K495" s="36">
        <v>44</v>
      </c>
      <c r="L495" s="24" t="s">
        <v>489</v>
      </c>
      <c r="M495" s="37">
        <v>711286.7</v>
      </c>
      <c r="N495" s="133"/>
      <c r="O495" s="133"/>
      <c r="P495" s="133"/>
      <c r="Q495" s="37">
        <v>711286.7</v>
      </c>
      <c r="R495" s="29">
        <f t="shared" si="39"/>
        <v>800.1875351558106</v>
      </c>
      <c r="S495" s="29">
        <v>14736.15</v>
      </c>
      <c r="T495" s="24" t="s">
        <v>1359</v>
      </c>
      <c r="U495" s="83">
        <v>6.3</v>
      </c>
      <c r="V495" s="296">
        <v>2019</v>
      </c>
    </row>
    <row r="496" spans="1:22" ht="201" customHeight="1">
      <c r="A496" s="86">
        <v>71</v>
      </c>
      <c r="B496" s="107" t="s">
        <v>141</v>
      </c>
      <c r="C496" s="24">
        <v>1979</v>
      </c>
      <c r="D496" s="24"/>
      <c r="E496" s="24" t="s">
        <v>494</v>
      </c>
      <c r="F496" s="24">
        <v>5</v>
      </c>
      <c r="G496" s="24">
        <v>5</v>
      </c>
      <c r="H496" s="37">
        <v>4019.7</v>
      </c>
      <c r="I496" s="37">
        <v>3765</v>
      </c>
      <c r="J496" s="37">
        <v>3317</v>
      </c>
      <c r="K496" s="36">
        <v>170</v>
      </c>
      <c r="L496" s="24" t="s">
        <v>851</v>
      </c>
      <c r="M496" s="37">
        <v>6754171.87</v>
      </c>
      <c r="N496" s="133"/>
      <c r="O496" s="133"/>
      <c r="P496" s="133"/>
      <c r="Q496" s="37">
        <v>6754171.87</v>
      </c>
      <c r="R496" s="29">
        <f>M496/I496</f>
        <v>1793.9367516600266</v>
      </c>
      <c r="S496" s="29">
        <v>14736.15</v>
      </c>
      <c r="T496" s="24" t="s">
        <v>1359</v>
      </c>
      <c r="U496" s="83">
        <v>6.3</v>
      </c>
      <c r="V496" s="296">
        <v>2019</v>
      </c>
    </row>
    <row r="497" spans="1:22" ht="45">
      <c r="A497" s="86">
        <v>72</v>
      </c>
      <c r="B497" s="107" t="s">
        <v>142</v>
      </c>
      <c r="C497" s="24">
        <v>1976</v>
      </c>
      <c r="D497" s="24"/>
      <c r="E497" s="24" t="s">
        <v>494</v>
      </c>
      <c r="F497" s="24">
        <v>5</v>
      </c>
      <c r="G497" s="24">
        <v>10</v>
      </c>
      <c r="H497" s="37">
        <v>5308</v>
      </c>
      <c r="I497" s="37">
        <v>5003.9</v>
      </c>
      <c r="J497" s="37">
        <v>4530.7</v>
      </c>
      <c r="K497" s="36">
        <v>238</v>
      </c>
      <c r="L497" s="24" t="s">
        <v>704</v>
      </c>
      <c r="M497" s="37">
        <v>1101536.86</v>
      </c>
      <c r="N497" s="133"/>
      <c r="O497" s="133"/>
      <c r="P497" s="133"/>
      <c r="Q497" s="37">
        <v>1101536.86</v>
      </c>
      <c r="R497" s="29">
        <f t="shared" si="39"/>
        <v>220.13566618037933</v>
      </c>
      <c r="S497" s="29">
        <v>14736.15</v>
      </c>
      <c r="T497" s="24" t="s">
        <v>1359</v>
      </c>
      <c r="U497" s="83">
        <v>6.3</v>
      </c>
      <c r="V497" s="296">
        <v>2019</v>
      </c>
    </row>
    <row r="498" spans="1:22" ht="45">
      <c r="A498" s="86">
        <v>73</v>
      </c>
      <c r="B498" s="128" t="s">
        <v>1485</v>
      </c>
      <c r="C498" s="24">
        <v>1994</v>
      </c>
      <c r="D498" s="24"/>
      <c r="E498" s="24" t="s">
        <v>374</v>
      </c>
      <c r="F498" s="24">
        <v>2</v>
      </c>
      <c r="G498" s="24">
        <v>3</v>
      </c>
      <c r="H498" s="37">
        <v>932.3</v>
      </c>
      <c r="I498" s="37">
        <v>864.8</v>
      </c>
      <c r="J498" s="37">
        <v>637.9</v>
      </c>
      <c r="K498" s="36">
        <v>10</v>
      </c>
      <c r="L498" s="24" t="s">
        <v>489</v>
      </c>
      <c r="M498" s="163">
        <v>2399299.41</v>
      </c>
      <c r="N498" s="144"/>
      <c r="O498" s="144"/>
      <c r="P498" s="144"/>
      <c r="Q498" s="17">
        <v>2399299.41</v>
      </c>
      <c r="R498" s="29">
        <f t="shared" si="39"/>
        <v>2774.3980226642</v>
      </c>
      <c r="S498" s="29">
        <v>14736.15</v>
      </c>
      <c r="T498" s="24" t="s">
        <v>1359</v>
      </c>
      <c r="U498" s="83">
        <v>6.3</v>
      </c>
      <c r="V498" s="296">
        <v>2019</v>
      </c>
    </row>
    <row r="499" spans="1:22" ht="45">
      <c r="A499" s="86">
        <v>74</v>
      </c>
      <c r="B499" s="128" t="s">
        <v>114</v>
      </c>
      <c r="C499" s="24">
        <v>1980</v>
      </c>
      <c r="D499" s="24"/>
      <c r="E499" s="24" t="s">
        <v>374</v>
      </c>
      <c r="F499" s="24">
        <v>2</v>
      </c>
      <c r="G499" s="24">
        <v>1</v>
      </c>
      <c r="H499" s="37">
        <v>196.84</v>
      </c>
      <c r="I499" s="37">
        <v>178.24</v>
      </c>
      <c r="J499" s="37">
        <v>178.24</v>
      </c>
      <c r="K499" s="36">
        <v>12</v>
      </c>
      <c r="L499" s="24" t="s">
        <v>489</v>
      </c>
      <c r="M499" s="37">
        <v>607430.67</v>
      </c>
      <c r="N499" s="133"/>
      <c r="O499" s="133"/>
      <c r="P499" s="133"/>
      <c r="Q499" s="37">
        <v>607430.67</v>
      </c>
      <c r="R499" s="29">
        <f t="shared" si="39"/>
        <v>3407.936882854578</v>
      </c>
      <c r="S499" s="29">
        <v>14736.15</v>
      </c>
      <c r="T499" s="24" t="s">
        <v>1359</v>
      </c>
      <c r="U499" s="83">
        <v>6.3</v>
      </c>
      <c r="V499" s="296">
        <v>2019</v>
      </c>
    </row>
    <row r="500" spans="1:22" ht="45">
      <c r="A500" s="86">
        <v>75</v>
      </c>
      <c r="B500" s="128" t="s">
        <v>115</v>
      </c>
      <c r="C500" s="24">
        <v>1980</v>
      </c>
      <c r="D500" s="24"/>
      <c r="E500" s="24" t="s">
        <v>374</v>
      </c>
      <c r="F500" s="24">
        <v>2</v>
      </c>
      <c r="G500" s="24">
        <v>1</v>
      </c>
      <c r="H500" s="37">
        <v>207.3</v>
      </c>
      <c r="I500" s="37">
        <v>183.2</v>
      </c>
      <c r="J500" s="37">
        <v>132.6</v>
      </c>
      <c r="K500" s="36">
        <v>12</v>
      </c>
      <c r="L500" s="24" t="s">
        <v>489</v>
      </c>
      <c r="M500" s="163">
        <v>608028.16</v>
      </c>
      <c r="N500" s="144"/>
      <c r="O500" s="144"/>
      <c r="P500" s="144"/>
      <c r="Q500" s="17">
        <v>608028.16</v>
      </c>
      <c r="R500" s="29">
        <f t="shared" si="39"/>
        <v>3318.9310043668124</v>
      </c>
      <c r="S500" s="29">
        <v>14736.15</v>
      </c>
      <c r="T500" s="24" t="s">
        <v>1359</v>
      </c>
      <c r="U500" s="83">
        <v>6.3</v>
      </c>
      <c r="V500" s="296">
        <v>2019</v>
      </c>
    </row>
    <row r="501" spans="1:22" ht="45">
      <c r="A501" s="86">
        <v>76</v>
      </c>
      <c r="B501" s="128" t="s">
        <v>116</v>
      </c>
      <c r="C501" s="24">
        <v>1980</v>
      </c>
      <c r="D501" s="24"/>
      <c r="E501" s="24" t="s">
        <v>374</v>
      </c>
      <c r="F501" s="24">
        <v>2</v>
      </c>
      <c r="G501" s="24">
        <v>1</v>
      </c>
      <c r="H501" s="37">
        <v>321.9</v>
      </c>
      <c r="I501" s="37">
        <v>298.7</v>
      </c>
      <c r="J501" s="37">
        <v>184.6</v>
      </c>
      <c r="K501" s="36">
        <v>20</v>
      </c>
      <c r="L501" s="24" t="s">
        <v>489</v>
      </c>
      <c r="M501" s="163">
        <v>807908.4</v>
      </c>
      <c r="N501" s="144"/>
      <c r="O501" s="144"/>
      <c r="P501" s="144"/>
      <c r="Q501" s="17">
        <v>807908.4</v>
      </c>
      <c r="R501" s="29">
        <f t="shared" si="39"/>
        <v>2704.748577167727</v>
      </c>
      <c r="S501" s="29">
        <v>14736.15</v>
      </c>
      <c r="T501" s="24" t="s">
        <v>1359</v>
      </c>
      <c r="U501" s="83">
        <v>6.3</v>
      </c>
      <c r="V501" s="296">
        <v>2019</v>
      </c>
    </row>
    <row r="502" spans="1:22" ht="45">
      <c r="A502" s="86">
        <v>77</v>
      </c>
      <c r="B502" s="128" t="s">
        <v>117</v>
      </c>
      <c r="C502" s="164">
        <v>1977</v>
      </c>
      <c r="D502" s="47"/>
      <c r="E502" s="164" t="s">
        <v>494</v>
      </c>
      <c r="F502" s="164">
        <v>2</v>
      </c>
      <c r="G502" s="164">
        <v>3</v>
      </c>
      <c r="H502" s="165">
        <v>1655.4</v>
      </c>
      <c r="I502" s="165">
        <v>1510.6</v>
      </c>
      <c r="J502" s="165">
        <v>1299.99</v>
      </c>
      <c r="K502" s="270">
        <v>54</v>
      </c>
      <c r="L502" s="24" t="s">
        <v>1069</v>
      </c>
      <c r="M502" s="163">
        <v>2337211.52</v>
      </c>
      <c r="N502" s="144"/>
      <c r="O502" s="144"/>
      <c r="P502" s="144"/>
      <c r="Q502" s="17">
        <v>2337211.52</v>
      </c>
      <c r="R502" s="29">
        <f t="shared" si="39"/>
        <v>1547.2074142724746</v>
      </c>
      <c r="S502" s="29">
        <v>14736.15</v>
      </c>
      <c r="T502" s="24" t="s">
        <v>1359</v>
      </c>
      <c r="U502" s="83">
        <v>6.3</v>
      </c>
      <c r="V502" s="296">
        <v>2019</v>
      </c>
    </row>
    <row r="503" spans="1:22" ht="15">
      <c r="A503" s="129"/>
      <c r="B503" s="112" t="s">
        <v>134</v>
      </c>
      <c r="C503" s="31"/>
      <c r="D503" s="31"/>
      <c r="E503" s="31"/>
      <c r="F503" s="31"/>
      <c r="G503" s="31"/>
      <c r="H503" s="135">
        <f>SUM(H489:H502)</f>
        <v>21535.77</v>
      </c>
      <c r="I503" s="135">
        <f aca="true" t="shared" si="40" ref="I503:Q503">SUM(I489:I502)</f>
        <v>19868.870000000003</v>
      </c>
      <c r="J503" s="135">
        <f t="shared" si="40"/>
        <v>16820.33</v>
      </c>
      <c r="K503" s="98">
        <f t="shared" si="40"/>
        <v>935</v>
      </c>
      <c r="L503" s="135"/>
      <c r="M503" s="135">
        <f t="shared" si="40"/>
        <v>24896072.68</v>
      </c>
      <c r="N503" s="135"/>
      <c r="O503" s="135"/>
      <c r="P503" s="135"/>
      <c r="Q503" s="135">
        <f t="shared" si="40"/>
        <v>24896072.68</v>
      </c>
      <c r="R503" s="96">
        <f t="shared" si="39"/>
        <v>1253.0190534237727</v>
      </c>
      <c r="S503" s="29"/>
      <c r="T503" s="76"/>
      <c r="U503" s="162"/>
      <c r="V503" s="296"/>
    </row>
    <row r="504" spans="1:22" ht="15">
      <c r="A504" s="300" t="s">
        <v>765</v>
      </c>
      <c r="B504" s="301"/>
      <c r="C504" s="301"/>
      <c r="D504" s="301"/>
      <c r="E504" s="301"/>
      <c r="F504" s="301"/>
      <c r="G504" s="301"/>
      <c r="H504" s="301"/>
      <c r="I504" s="301"/>
      <c r="J504" s="301"/>
      <c r="K504" s="301"/>
      <c r="L504" s="301"/>
      <c r="M504" s="301"/>
      <c r="N504" s="301"/>
      <c r="O504" s="301"/>
      <c r="P504" s="301"/>
      <c r="Q504" s="302"/>
      <c r="R504" s="301"/>
      <c r="S504" s="301"/>
      <c r="T504" s="301"/>
      <c r="U504" s="303"/>
      <c r="V504" s="296"/>
    </row>
    <row r="505" spans="1:22" ht="45">
      <c r="A505" s="86">
        <v>78</v>
      </c>
      <c r="B505" s="107" t="s">
        <v>606</v>
      </c>
      <c r="C505" s="24">
        <v>1991</v>
      </c>
      <c r="D505" s="24"/>
      <c r="E505" s="24" t="s">
        <v>374</v>
      </c>
      <c r="F505" s="24">
        <v>2</v>
      </c>
      <c r="G505" s="24">
        <v>3</v>
      </c>
      <c r="H505" s="37">
        <v>1050</v>
      </c>
      <c r="I505" s="37">
        <v>885</v>
      </c>
      <c r="J505" s="37">
        <v>885</v>
      </c>
      <c r="K505" s="36">
        <v>33</v>
      </c>
      <c r="L505" s="24" t="s">
        <v>496</v>
      </c>
      <c r="M505" s="37">
        <v>2826285.6</v>
      </c>
      <c r="N505" s="37"/>
      <c r="O505" s="37"/>
      <c r="P505" s="37"/>
      <c r="Q505" s="37">
        <v>2826285.6</v>
      </c>
      <c r="R505" s="29">
        <f t="shared" si="39"/>
        <v>3193.543050847458</v>
      </c>
      <c r="S505" s="29">
        <v>14736.15</v>
      </c>
      <c r="T505" s="24" t="s">
        <v>1359</v>
      </c>
      <c r="U505" s="83">
        <v>6.3</v>
      </c>
      <c r="V505" s="296">
        <v>2019</v>
      </c>
    </row>
    <row r="506" spans="1:22" ht="15">
      <c r="A506" s="129"/>
      <c r="B506" s="112" t="s">
        <v>768</v>
      </c>
      <c r="C506" s="31"/>
      <c r="D506" s="31"/>
      <c r="E506" s="31"/>
      <c r="F506" s="31"/>
      <c r="G506" s="31"/>
      <c r="H506" s="81">
        <f>SUM(H505)</f>
        <v>1050</v>
      </c>
      <c r="I506" s="81">
        <f aca="true" t="shared" si="41" ref="I506:Q506">SUM(I505)</f>
        <v>885</v>
      </c>
      <c r="J506" s="81">
        <f t="shared" si="41"/>
        <v>885</v>
      </c>
      <c r="K506" s="98">
        <f t="shared" si="41"/>
        <v>33</v>
      </c>
      <c r="L506" s="81"/>
      <c r="M506" s="81">
        <f t="shared" si="41"/>
        <v>2826285.6</v>
      </c>
      <c r="N506" s="81"/>
      <c r="O506" s="81"/>
      <c r="P506" s="81"/>
      <c r="Q506" s="81">
        <f t="shared" si="41"/>
        <v>2826285.6</v>
      </c>
      <c r="R506" s="134"/>
      <c r="S506" s="131"/>
      <c r="T506" s="136"/>
      <c r="U506" s="142"/>
      <c r="V506" s="296"/>
    </row>
    <row r="507" spans="1:22" ht="15">
      <c r="A507" s="300" t="s">
        <v>1365</v>
      </c>
      <c r="B507" s="301"/>
      <c r="C507" s="301"/>
      <c r="D507" s="301"/>
      <c r="E507" s="301"/>
      <c r="F507" s="301"/>
      <c r="G507" s="301"/>
      <c r="H507" s="301"/>
      <c r="I507" s="301"/>
      <c r="J507" s="301"/>
      <c r="K507" s="301"/>
      <c r="L507" s="301"/>
      <c r="M507" s="301"/>
      <c r="N507" s="301"/>
      <c r="O507" s="301"/>
      <c r="P507" s="301"/>
      <c r="Q507" s="302"/>
      <c r="R507" s="301"/>
      <c r="S507" s="301"/>
      <c r="T507" s="301"/>
      <c r="U507" s="303"/>
      <c r="V507" s="296"/>
    </row>
    <row r="508" spans="1:22" ht="45">
      <c r="A508" s="86">
        <v>79</v>
      </c>
      <c r="B508" s="128" t="s">
        <v>238</v>
      </c>
      <c r="C508" s="62">
        <v>1965</v>
      </c>
      <c r="D508" s="62"/>
      <c r="E508" s="76" t="s">
        <v>374</v>
      </c>
      <c r="F508" s="62">
        <v>2</v>
      </c>
      <c r="G508" s="62">
        <v>3</v>
      </c>
      <c r="H508" s="63">
        <v>477.97</v>
      </c>
      <c r="I508" s="37">
        <v>413.87</v>
      </c>
      <c r="J508" s="37">
        <v>317.6</v>
      </c>
      <c r="K508" s="36">
        <v>22</v>
      </c>
      <c r="L508" s="24" t="s">
        <v>489</v>
      </c>
      <c r="M508" s="37">
        <v>1500564.82</v>
      </c>
      <c r="N508" s="37"/>
      <c r="O508" s="37"/>
      <c r="P508" s="37"/>
      <c r="Q508" s="37">
        <v>1500564.82</v>
      </c>
      <c r="R508" s="29">
        <f aca="true" t="shared" si="42" ref="R508:R521">M508/I508</f>
        <v>3625.6912073839612</v>
      </c>
      <c r="S508" s="29">
        <v>14736.15</v>
      </c>
      <c r="T508" s="24" t="s">
        <v>1359</v>
      </c>
      <c r="U508" s="118">
        <v>6.3</v>
      </c>
      <c r="V508" s="296">
        <v>2019</v>
      </c>
    </row>
    <row r="509" spans="1:22" ht="45">
      <c r="A509" s="86">
        <v>80</v>
      </c>
      <c r="B509" s="128" t="s">
        <v>239</v>
      </c>
      <c r="C509" s="62">
        <v>1972</v>
      </c>
      <c r="D509" s="62"/>
      <c r="E509" s="76" t="s">
        <v>374</v>
      </c>
      <c r="F509" s="62">
        <v>2</v>
      </c>
      <c r="G509" s="62">
        <v>2</v>
      </c>
      <c r="H509" s="63">
        <v>543.4</v>
      </c>
      <c r="I509" s="37">
        <v>494.2</v>
      </c>
      <c r="J509" s="37">
        <v>396.13</v>
      </c>
      <c r="K509" s="36">
        <v>30</v>
      </c>
      <c r="L509" s="24" t="s">
        <v>489</v>
      </c>
      <c r="M509" s="37">
        <v>1695221.47</v>
      </c>
      <c r="N509" s="37"/>
      <c r="O509" s="37"/>
      <c r="P509" s="37"/>
      <c r="Q509" s="37">
        <v>1695221.47</v>
      </c>
      <c r="R509" s="29">
        <f t="shared" si="42"/>
        <v>3430.23365034399</v>
      </c>
      <c r="S509" s="29">
        <v>14736.15</v>
      </c>
      <c r="T509" s="24" t="s">
        <v>1359</v>
      </c>
      <c r="U509" s="118">
        <v>6.3</v>
      </c>
      <c r="V509" s="296">
        <v>2019</v>
      </c>
    </row>
    <row r="510" spans="1:22" ht="45">
      <c r="A510" s="86">
        <v>81</v>
      </c>
      <c r="B510" s="128" t="s">
        <v>240</v>
      </c>
      <c r="C510" s="62">
        <v>1985</v>
      </c>
      <c r="D510" s="62"/>
      <c r="E510" s="62" t="s">
        <v>374</v>
      </c>
      <c r="F510" s="62">
        <v>2</v>
      </c>
      <c r="G510" s="62">
        <v>1</v>
      </c>
      <c r="H510" s="63">
        <v>415.2</v>
      </c>
      <c r="I510" s="37">
        <v>319.7</v>
      </c>
      <c r="J510" s="37">
        <v>174</v>
      </c>
      <c r="K510" s="36">
        <v>36</v>
      </c>
      <c r="L510" s="24" t="s">
        <v>489</v>
      </c>
      <c r="M510" s="37">
        <v>1177321.45</v>
      </c>
      <c r="N510" s="37"/>
      <c r="O510" s="37"/>
      <c r="P510" s="37"/>
      <c r="Q510" s="37">
        <v>1177321.45</v>
      </c>
      <c r="R510" s="29">
        <f t="shared" si="42"/>
        <v>3682.5819518298404</v>
      </c>
      <c r="S510" s="29">
        <v>14736.15</v>
      </c>
      <c r="T510" s="24" t="s">
        <v>1359</v>
      </c>
      <c r="U510" s="118">
        <v>6.3</v>
      </c>
      <c r="V510" s="296">
        <v>2019</v>
      </c>
    </row>
    <row r="511" spans="1:22" ht="45">
      <c r="A511" s="86">
        <v>82</v>
      </c>
      <c r="B511" s="128" t="s">
        <v>241</v>
      </c>
      <c r="C511" s="62">
        <v>1961</v>
      </c>
      <c r="D511" s="62"/>
      <c r="E511" s="62" t="s">
        <v>374</v>
      </c>
      <c r="F511" s="62">
        <v>2</v>
      </c>
      <c r="G511" s="62">
        <v>2</v>
      </c>
      <c r="H511" s="63">
        <v>222.93</v>
      </c>
      <c r="I511" s="37">
        <v>202.69</v>
      </c>
      <c r="J511" s="37">
        <v>222.93</v>
      </c>
      <c r="K511" s="36">
        <v>10</v>
      </c>
      <c r="L511" s="24" t="s">
        <v>721</v>
      </c>
      <c r="M511" s="37">
        <v>59296.59</v>
      </c>
      <c r="N511" s="37"/>
      <c r="O511" s="37"/>
      <c r="P511" s="37"/>
      <c r="Q511" s="37">
        <v>59296.59</v>
      </c>
      <c r="R511" s="29">
        <f t="shared" si="42"/>
        <v>292.5481770190932</v>
      </c>
      <c r="S511" s="29">
        <v>14736.15</v>
      </c>
      <c r="T511" s="24" t="s">
        <v>1359</v>
      </c>
      <c r="U511" s="118">
        <v>6.3</v>
      </c>
      <c r="V511" s="296">
        <v>2019</v>
      </c>
    </row>
    <row r="512" spans="1:22" ht="45">
      <c r="A512" s="86">
        <v>83</v>
      </c>
      <c r="B512" s="128" t="s">
        <v>647</v>
      </c>
      <c r="C512" s="62">
        <v>1961</v>
      </c>
      <c r="D512" s="62">
        <v>2011</v>
      </c>
      <c r="E512" s="62" t="s">
        <v>374</v>
      </c>
      <c r="F512" s="62">
        <v>2</v>
      </c>
      <c r="G512" s="62">
        <v>2</v>
      </c>
      <c r="H512" s="63">
        <v>554</v>
      </c>
      <c r="I512" s="37">
        <v>513.09</v>
      </c>
      <c r="J512" s="37">
        <v>522.63</v>
      </c>
      <c r="K512" s="36">
        <v>27</v>
      </c>
      <c r="L512" s="24" t="s">
        <v>720</v>
      </c>
      <c r="M512" s="37">
        <v>1912687.76</v>
      </c>
      <c r="N512" s="37"/>
      <c r="O512" s="37"/>
      <c r="P512" s="37"/>
      <c r="Q512" s="37">
        <v>1912687.76</v>
      </c>
      <c r="R512" s="29">
        <f t="shared" si="42"/>
        <v>3727.7821824631155</v>
      </c>
      <c r="S512" s="29">
        <v>14736.15</v>
      </c>
      <c r="T512" s="24" t="s">
        <v>1359</v>
      </c>
      <c r="U512" s="118">
        <v>6.3</v>
      </c>
      <c r="V512" s="296">
        <v>2019</v>
      </c>
    </row>
    <row r="513" spans="1:22" ht="45">
      <c r="A513" s="86">
        <v>84</v>
      </c>
      <c r="B513" s="128" t="s">
        <v>64</v>
      </c>
      <c r="C513" s="62">
        <v>1986</v>
      </c>
      <c r="D513" s="62"/>
      <c r="E513" s="62" t="s">
        <v>494</v>
      </c>
      <c r="F513" s="62">
        <v>5</v>
      </c>
      <c r="G513" s="62">
        <v>3</v>
      </c>
      <c r="H513" s="63">
        <v>3661.6</v>
      </c>
      <c r="I513" s="37">
        <v>3252</v>
      </c>
      <c r="J513" s="37">
        <v>3170.03</v>
      </c>
      <c r="K513" s="36">
        <v>138</v>
      </c>
      <c r="L513" s="24" t="s">
        <v>65</v>
      </c>
      <c r="M513" s="37">
        <v>1289712.64</v>
      </c>
      <c r="N513" s="37"/>
      <c r="O513" s="37"/>
      <c r="P513" s="37"/>
      <c r="Q513" s="37">
        <v>1289712.64</v>
      </c>
      <c r="R513" s="29">
        <f t="shared" si="42"/>
        <v>396.590602706027</v>
      </c>
      <c r="S513" s="29">
        <v>14736.15</v>
      </c>
      <c r="T513" s="24" t="s">
        <v>1359</v>
      </c>
      <c r="U513" s="118">
        <v>6.3</v>
      </c>
      <c r="V513" s="296">
        <v>2019</v>
      </c>
    </row>
    <row r="514" spans="1:22" ht="45">
      <c r="A514" s="86">
        <v>85</v>
      </c>
      <c r="B514" s="128" t="s">
        <v>609</v>
      </c>
      <c r="C514" s="62">
        <v>1988</v>
      </c>
      <c r="D514" s="62"/>
      <c r="E514" s="62" t="s">
        <v>374</v>
      </c>
      <c r="F514" s="62">
        <v>2</v>
      </c>
      <c r="G514" s="62">
        <v>3</v>
      </c>
      <c r="H514" s="63">
        <v>869.4</v>
      </c>
      <c r="I514" s="37">
        <v>787.3</v>
      </c>
      <c r="J514" s="37">
        <v>787.3</v>
      </c>
      <c r="K514" s="36">
        <v>53</v>
      </c>
      <c r="L514" s="24" t="s">
        <v>384</v>
      </c>
      <c r="M514" s="37">
        <v>380148.16</v>
      </c>
      <c r="N514" s="37"/>
      <c r="O514" s="37"/>
      <c r="P514" s="37"/>
      <c r="Q514" s="37">
        <v>380148.16</v>
      </c>
      <c r="R514" s="29">
        <f t="shared" si="42"/>
        <v>482.85045090816715</v>
      </c>
      <c r="S514" s="29">
        <v>14736.15</v>
      </c>
      <c r="T514" s="24" t="s">
        <v>1359</v>
      </c>
      <c r="U514" s="118">
        <v>6.3</v>
      </c>
      <c r="V514" s="296">
        <v>2019</v>
      </c>
    </row>
    <row r="515" spans="1:22" ht="45">
      <c r="A515" s="86">
        <v>86</v>
      </c>
      <c r="B515" s="82" t="s">
        <v>110</v>
      </c>
      <c r="C515" s="62">
        <v>1983</v>
      </c>
      <c r="D515" s="62"/>
      <c r="E515" s="62" t="s">
        <v>494</v>
      </c>
      <c r="F515" s="62">
        <v>5</v>
      </c>
      <c r="G515" s="62">
        <v>4</v>
      </c>
      <c r="H515" s="62">
        <v>3327.56</v>
      </c>
      <c r="I515" s="62">
        <v>3047.56</v>
      </c>
      <c r="J515" s="62">
        <v>2749.32</v>
      </c>
      <c r="K515" s="267">
        <v>125</v>
      </c>
      <c r="L515" s="62" t="s">
        <v>1525</v>
      </c>
      <c r="M515" s="37">
        <v>5728802.4</v>
      </c>
      <c r="N515" s="116"/>
      <c r="O515" s="116"/>
      <c r="P515" s="116"/>
      <c r="Q515" s="37">
        <v>5728802.4</v>
      </c>
      <c r="R515" s="29">
        <f t="shared" si="42"/>
        <v>1879.7997086193548</v>
      </c>
      <c r="S515" s="29">
        <v>14736.15</v>
      </c>
      <c r="T515" s="24" t="s">
        <v>1359</v>
      </c>
      <c r="U515" s="118">
        <v>6.3</v>
      </c>
      <c r="V515" s="296">
        <v>2019</v>
      </c>
    </row>
    <row r="516" spans="1:22" ht="45">
      <c r="A516" s="86">
        <v>87</v>
      </c>
      <c r="B516" s="82" t="s">
        <v>111</v>
      </c>
      <c r="C516" s="62">
        <v>1987</v>
      </c>
      <c r="D516" s="62"/>
      <c r="E516" s="62" t="s">
        <v>494</v>
      </c>
      <c r="F516" s="62">
        <v>5</v>
      </c>
      <c r="G516" s="62">
        <v>3</v>
      </c>
      <c r="H516" s="62">
        <v>3695.42</v>
      </c>
      <c r="I516" s="62">
        <v>3246.92</v>
      </c>
      <c r="J516" s="62">
        <v>2245.75</v>
      </c>
      <c r="K516" s="267">
        <v>158</v>
      </c>
      <c r="L516" s="62" t="s">
        <v>1525</v>
      </c>
      <c r="M516" s="37">
        <v>4693467.37</v>
      </c>
      <c r="N516" s="116"/>
      <c r="O516" s="116"/>
      <c r="P516" s="116"/>
      <c r="Q516" s="37">
        <v>4693467.37</v>
      </c>
      <c r="R516" s="29">
        <f t="shared" si="42"/>
        <v>1445.5137083759378</v>
      </c>
      <c r="S516" s="29">
        <v>14736.15</v>
      </c>
      <c r="T516" s="24" t="s">
        <v>1359</v>
      </c>
      <c r="U516" s="118">
        <v>6.3</v>
      </c>
      <c r="V516" s="296">
        <v>2019</v>
      </c>
    </row>
    <row r="517" spans="1:22" ht="75">
      <c r="A517" s="86">
        <v>88</v>
      </c>
      <c r="B517" s="82" t="s">
        <v>1486</v>
      </c>
      <c r="C517" s="62">
        <v>2008</v>
      </c>
      <c r="D517" s="62"/>
      <c r="E517" s="62" t="s">
        <v>1487</v>
      </c>
      <c r="F517" s="62">
        <v>4</v>
      </c>
      <c r="G517" s="62">
        <v>1</v>
      </c>
      <c r="H517" s="62">
        <v>1046.68</v>
      </c>
      <c r="I517" s="62">
        <v>920.91</v>
      </c>
      <c r="J517" s="62">
        <v>730.61</v>
      </c>
      <c r="K517" s="267">
        <v>64</v>
      </c>
      <c r="L517" s="62" t="s">
        <v>489</v>
      </c>
      <c r="M517" s="37">
        <v>1760652.22</v>
      </c>
      <c r="N517" s="116"/>
      <c r="O517" s="116"/>
      <c r="P517" s="116"/>
      <c r="Q517" s="37">
        <v>1760652.22</v>
      </c>
      <c r="R517" s="29">
        <f t="shared" si="42"/>
        <v>1911.8613328121098</v>
      </c>
      <c r="S517" s="29">
        <v>14736.15</v>
      </c>
      <c r="T517" s="24" t="s">
        <v>1359</v>
      </c>
      <c r="U517" s="118">
        <v>6.3</v>
      </c>
      <c r="V517" s="296">
        <v>2019</v>
      </c>
    </row>
    <row r="518" spans="1:22" ht="15">
      <c r="A518" s="129"/>
      <c r="B518" s="112" t="s">
        <v>838</v>
      </c>
      <c r="C518" s="166"/>
      <c r="D518" s="166"/>
      <c r="E518" s="166"/>
      <c r="F518" s="166"/>
      <c r="G518" s="166"/>
      <c r="H518" s="116">
        <f>SUM(H508:H517)</f>
        <v>14814.16</v>
      </c>
      <c r="I518" s="116">
        <f>SUM(I508:I517)</f>
        <v>13198.24</v>
      </c>
      <c r="J518" s="116">
        <f>SUM(J508:J517)</f>
        <v>11316.300000000001</v>
      </c>
      <c r="K518" s="167">
        <f>SUM(K508:K517)</f>
        <v>663</v>
      </c>
      <c r="L518" s="116"/>
      <c r="M518" s="116">
        <f>SUM(M508:M517)</f>
        <v>20197874.88</v>
      </c>
      <c r="N518" s="116"/>
      <c r="O518" s="116"/>
      <c r="P518" s="116"/>
      <c r="Q518" s="116">
        <f>SUM(Q508:Q517)</f>
        <v>20197874.88</v>
      </c>
      <c r="R518" s="96">
        <f t="shared" si="42"/>
        <v>1530.3460825079708</v>
      </c>
      <c r="S518" s="134"/>
      <c r="T518" s="31"/>
      <c r="U518" s="156"/>
      <c r="V518" s="296"/>
    </row>
    <row r="519" spans="1:22" ht="15">
      <c r="A519" s="300" t="s">
        <v>495</v>
      </c>
      <c r="B519" s="301"/>
      <c r="C519" s="301"/>
      <c r="D519" s="301"/>
      <c r="E519" s="301"/>
      <c r="F519" s="301"/>
      <c r="G519" s="301"/>
      <c r="H519" s="301"/>
      <c r="I519" s="301"/>
      <c r="J519" s="301"/>
      <c r="K519" s="301"/>
      <c r="L519" s="301"/>
      <c r="M519" s="301"/>
      <c r="N519" s="301"/>
      <c r="O519" s="301"/>
      <c r="P519" s="301"/>
      <c r="Q519" s="302"/>
      <c r="R519" s="301"/>
      <c r="S519" s="301"/>
      <c r="T519" s="301"/>
      <c r="U519" s="303"/>
      <c r="V519" s="296"/>
    </row>
    <row r="520" spans="1:22" ht="45">
      <c r="A520" s="86">
        <v>89</v>
      </c>
      <c r="B520" s="82" t="s">
        <v>1405</v>
      </c>
      <c r="C520" s="62">
        <v>1989</v>
      </c>
      <c r="D520" s="62">
        <v>2017</v>
      </c>
      <c r="E520" s="62" t="s">
        <v>374</v>
      </c>
      <c r="F520" s="62">
        <v>2</v>
      </c>
      <c r="G520" s="62">
        <v>3</v>
      </c>
      <c r="H520" s="63">
        <v>986.1</v>
      </c>
      <c r="I520" s="37">
        <v>890.8</v>
      </c>
      <c r="J520" s="37">
        <v>825.6</v>
      </c>
      <c r="K520" s="36">
        <v>37</v>
      </c>
      <c r="L520" s="24" t="s">
        <v>489</v>
      </c>
      <c r="M520" s="37">
        <v>2433642.59</v>
      </c>
      <c r="N520" s="37"/>
      <c r="O520" s="37"/>
      <c r="P520" s="37"/>
      <c r="Q520" s="37">
        <v>2433642.59</v>
      </c>
      <c r="R520" s="29">
        <f t="shared" si="42"/>
        <v>2731.974169286035</v>
      </c>
      <c r="S520" s="131">
        <v>14736.15</v>
      </c>
      <c r="T520" s="24" t="s">
        <v>1359</v>
      </c>
      <c r="U520" s="118">
        <v>6.3</v>
      </c>
      <c r="V520" s="296">
        <v>2019</v>
      </c>
    </row>
    <row r="521" spans="1:22" ht="45">
      <c r="A521" s="86">
        <v>90</v>
      </c>
      <c r="B521" s="82" t="s">
        <v>1488</v>
      </c>
      <c r="C521" s="24">
        <v>1965</v>
      </c>
      <c r="D521" s="24">
        <v>2009</v>
      </c>
      <c r="E521" s="24" t="s">
        <v>374</v>
      </c>
      <c r="F521" s="24">
        <v>2</v>
      </c>
      <c r="G521" s="24">
        <v>2</v>
      </c>
      <c r="H521" s="24">
        <v>373.8</v>
      </c>
      <c r="I521" s="24">
        <v>373.8</v>
      </c>
      <c r="J521" s="24">
        <v>320.4</v>
      </c>
      <c r="K521" s="36">
        <v>20</v>
      </c>
      <c r="L521" s="24" t="s">
        <v>489</v>
      </c>
      <c r="M521" s="37">
        <v>1386076.92</v>
      </c>
      <c r="N521" s="37"/>
      <c r="O521" s="37"/>
      <c r="P521" s="37"/>
      <c r="Q521" s="37">
        <v>1386076.92</v>
      </c>
      <c r="R521" s="29">
        <f t="shared" si="42"/>
        <v>3708.0709470304973</v>
      </c>
      <c r="S521" s="131">
        <v>14736.15</v>
      </c>
      <c r="T521" s="24" t="s">
        <v>1359</v>
      </c>
      <c r="U521" s="118">
        <v>6.3</v>
      </c>
      <c r="V521" s="296">
        <v>2019</v>
      </c>
    </row>
    <row r="522" spans="1:22" ht="15">
      <c r="A522" s="129"/>
      <c r="B522" s="102" t="s">
        <v>491</v>
      </c>
      <c r="C522" s="31"/>
      <c r="D522" s="31"/>
      <c r="E522" s="31"/>
      <c r="F522" s="31"/>
      <c r="G522" s="31"/>
      <c r="H522" s="81">
        <f>SUM(H520:H521)</f>
        <v>1359.9</v>
      </c>
      <c r="I522" s="81">
        <f aca="true" t="shared" si="43" ref="I522:Q522">SUM(I520:I521)</f>
        <v>1264.6</v>
      </c>
      <c r="J522" s="81">
        <f t="shared" si="43"/>
        <v>1146</v>
      </c>
      <c r="K522" s="98">
        <f t="shared" si="43"/>
        <v>57</v>
      </c>
      <c r="L522" s="81"/>
      <c r="M522" s="81">
        <f t="shared" si="43"/>
        <v>3819719.51</v>
      </c>
      <c r="N522" s="81"/>
      <c r="O522" s="81"/>
      <c r="P522" s="81"/>
      <c r="Q522" s="81">
        <f t="shared" si="43"/>
        <v>3819719.51</v>
      </c>
      <c r="R522" s="96">
        <f>M522/I522</f>
        <v>3020.4962122410248</v>
      </c>
      <c r="S522" s="131"/>
      <c r="T522" s="31"/>
      <c r="U522" s="142"/>
      <c r="V522" s="296"/>
    </row>
    <row r="523" spans="1:22" ht="15">
      <c r="A523" s="300" t="s">
        <v>1364</v>
      </c>
      <c r="B523" s="301"/>
      <c r="C523" s="301"/>
      <c r="D523" s="301"/>
      <c r="E523" s="301"/>
      <c r="F523" s="301"/>
      <c r="G523" s="301"/>
      <c r="H523" s="301"/>
      <c r="I523" s="301"/>
      <c r="J523" s="301"/>
      <c r="K523" s="301"/>
      <c r="L523" s="301"/>
      <c r="M523" s="301"/>
      <c r="N523" s="301"/>
      <c r="O523" s="301"/>
      <c r="P523" s="301"/>
      <c r="Q523" s="302"/>
      <c r="R523" s="301"/>
      <c r="S523" s="301"/>
      <c r="T523" s="301"/>
      <c r="U523" s="303"/>
      <c r="V523" s="296"/>
    </row>
    <row r="524" spans="1:22" ht="45">
      <c r="A524" s="70">
        <v>91</v>
      </c>
      <c r="B524" s="128" t="s">
        <v>1489</v>
      </c>
      <c r="C524" s="24">
        <v>1974</v>
      </c>
      <c r="D524" s="24">
        <v>2013</v>
      </c>
      <c r="E524" s="24" t="s">
        <v>374</v>
      </c>
      <c r="F524" s="24">
        <v>2</v>
      </c>
      <c r="G524" s="24">
        <v>2</v>
      </c>
      <c r="H524" s="37">
        <v>709.55</v>
      </c>
      <c r="I524" s="37">
        <v>709.55</v>
      </c>
      <c r="J524" s="37">
        <v>709.55</v>
      </c>
      <c r="K524" s="36">
        <v>38</v>
      </c>
      <c r="L524" s="24" t="s">
        <v>489</v>
      </c>
      <c r="M524" s="37">
        <v>1986961.71</v>
      </c>
      <c r="N524" s="37"/>
      <c r="O524" s="37"/>
      <c r="P524" s="37"/>
      <c r="Q524" s="37">
        <v>1986961.71</v>
      </c>
      <c r="R524" s="29">
        <f>M524/I524</f>
        <v>2800.3124656472414</v>
      </c>
      <c r="S524" s="131">
        <v>14736.15</v>
      </c>
      <c r="T524" s="24" t="s">
        <v>1359</v>
      </c>
      <c r="U524" s="83">
        <v>6.3</v>
      </c>
      <c r="V524" s="296">
        <v>2019</v>
      </c>
    </row>
    <row r="525" spans="1:22" ht="15">
      <c r="A525" s="129"/>
      <c r="B525" s="112" t="s">
        <v>1436</v>
      </c>
      <c r="C525" s="130" t="s">
        <v>379</v>
      </c>
      <c r="D525" s="130" t="s">
        <v>379</v>
      </c>
      <c r="E525" s="130" t="s">
        <v>379</v>
      </c>
      <c r="F525" s="130" t="s">
        <v>379</v>
      </c>
      <c r="G525" s="130" t="s">
        <v>379</v>
      </c>
      <c r="H525" s="81">
        <v>1284.4</v>
      </c>
      <c r="I525" s="81">
        <f>SUM(I524:I524)</f>
        <v>709.55</v>
      </c>
      <c r="J525" s="81">
        <f>SUM(J524:J524)</f>
        <v>709.55</v>
      </c>
      <c r="K525" s="98">
        <f>SUM(K524:K524)</f>
        <v>38</v>
      </c>
      <c r="L525" s="79"/>
      <c r="M525" s="81">
        <f>SUM(M524:M524)</f>
        <v>1986961.71</v>
      </c>
      <c r="N525" s="81"/>
      <c r="O525" s="81"/>
      <c r="P525" s="81"/>
      <c r="Q525" s="81">
        <f>SUM(Q524:Q524)</f>
        <v>1986961.71</v>
      </c>
      <c r="R525" s="96">
        <f>M525/I525</f>
        <v>2800.3124656472414</v>
      </c>
      <c r="S525" s="131"/>
      <c r="T525" s="136"/>
      <c r="U525" s="142"/>
      <c r="V525" s="296"/>
    </row>
    <row r="526" spans="1:22" ht="15">
      <c r="A526" s="304" t="s">
        <v>1369</v>
      </c>
      <c r="B526" s="301"/>
      <c r="C526" s="301"/>
      <c r="D526" s="301"/>
      <c r="E526" s="301"/>
      <c r="F526" s="301"/>
      <c r="G526" s="301"/>
      <c r="H526" s="301"/>
      <c r="I526" s="301"/>
      <c r="J526" s="301"/>
      <c r="K526" s="301"/>
      <c r="L526" s="301"/>
      <c r="M526" s="301"/>
      <c r="N526" s="301"/>
      <c r="O526" s="301"/>
      <c r="P526" s="301"/>
      <c r="Q526" s="302"/>
      <c r="R526" s="301"/>
      <c r="S526" s="301"/>
      <c r="T526" s="301"/>
      <c r="U526" s="303"/>
      <c r="V526" s="296"/>
    </row>
    <row r="527" spans="1:22" ht="45">
      <c r="A527" s="70">
        <v>92</v>
      </c>
      <c r="B527" s="128" t="s">
        <v>734</v>
      </c>
      <c r="C527" s="24">
        <v>1971</v>
      </c>
      <c r="D527" s="24"/>
      <c r="E527" s="24" t="s">
        <v>374</v>
      </c>
      <c r="F527" s="24">
        <v>5</v>
      </c>
      <c r="G527" s="24">
        <v>4</v>
      </c>
      <c r="H527" s="37">
        <v>3384.95</v>
      </c>
      <c r="I527" s="37">
        <v>3384.95</v>
      </c>
      <c r="J527" s="37">
        <v>3212.92</v>
      </c>
      <c r="K527" s="36">
        <v>145</v>
      </c>
      <c r="L527" s="24" t="s">
        <v>1069</v>
      </c>
      <c r="M527" s="37">
        <v>3000129.12</v>
      </c>
      <c r="N527" s="37"/>
      <c r="O527" s="37"/>
      <c r="P527" s="37"/>
      <c r="Q527" s="37">
        <v>3000129.12</v>
      </c>
      <c r="R527" s="29">
        <f aca="true" t="shared" si="44" ref="R527:R532">M527/I527</f>
        <v>886.3141612136073</v>
      </c>
      <c r="S527" s="131">
        <v>14047.81</v>
      </c>
      <c r="T527" s="24" t="s">
        <v>1359</v>
      </c>
      <c r="U527" s="118">
        <v>6.3</v>
      </c>
      <c r="V527" s="296">
        <v>2019</v>
      </c>
    </row>
    <row r="528" spans="1:22" ht="93" customHeight="1">
      <c r="A528" s="70">
        <v>93</v>
      </c>
      <c r="B528" s="107" t="s">
        <v>662</v>
      </c>
      <c r="C528" s="24">
        <v>1981</v>
      </c>
      <c r="D528" s="24"/>
      <c r="E528" s="24" t="s">
        <v>374</v>
      </c>
      <c r="F528" s="24">
        <v>5</v>
      </c>
      <c r="G528" s="24">
        <v>6</v>
      </c>
      <c r="H528" s="37">
        <v>4183.23</v>
      </c>
      <c r="I528" s="37">
        <v>4183.23</v>
      </c>
      <c r="J528" s="37">
        <v>3568.84</v>
      </c>
      <c r="K528" s="36">
        <v>136</v>
      </c>
      <c r="L528" s="24" t="s">
        <v>292</v>
      </c>
      <c r="M528" s="37">
        <v>6870362.44</v>
      </c>
      <c r="N528" s="37"/>
      <c r="O528" s="37"/>
      <c r="P528" s="37"/>
      <c r="Q528" s="37">
        <v>6870362.44</v>
      </c>
      <c r="R528" s="29">
        <f t="shared" si="44"/>
        <v>1642.358282953603</v>
      </c>
      <c r="S528" s="131">
        <v>14047.81</v>
      </c>
      <c r="T528" s="24" t="s">
        <v>1359</v>
      </c>
      <c r="U528" s="118">
        <v>6.3</v>
      </c>
      <c r="V528" s="296">
        <v>2019</v>
      </c>
    </row>
    <row r="529" spans="1:22" ht="57" customHeight="1">
      <c r="A529" s="70">
        <v>94</v>
      </c>
      <c r="B529" s="107" t="s">
        <v>778</v>
      </c>
      <c r="C529" s="24">
        <v>1972</v>
      </c>
      <c r="D529" s="24"/>
      <c r="E529" s="24" t="s">
        <v>374</v>
      </c>
      <c r="F529" s="24">
        <v>5</v>
      </c>
      <c r="G529" s="24">
        <v>4</v>
      </c>
      <c r="H529" s="37">
        <v>3153.64</v>
      </c>
      <c r="I529" s="37">
        <v>3153.64</v>
      </c>
      <c r="J529" s="37">
        <v>2858.14</v>
      </c>
      <c r="K529" s="36">
        <v>79</v>
      </c>
      <c r="L529" s="24" t="s">
        <v>1069</v>
      </c>
      <c r="M529" s="37">
        <v>2965345.64</v>
      </c>
      <c r="N529" s="37"/>
      <c r="O529" s="37"/>
      <c r="P529" s="37"/>
      <c r="Q529" s="37">
        <v>2965345.64</v>
      </c>
      <c r="R529" s="29">
        <f t="shared" si="44"/>
        <v>940.2930074453648</v>
      </c>
      <c r="S529" s="131">
        <v>14047.81</v>
      </c>
      <c r="T529" s="24" t="s">
        <v>1359</v>
      </c>
      <c r="U529" s="118">
        <v>6.3</v>
      </c>
      <c r="V529" s="296">
        <v>2019</v>
      </c>
    </row>
    <row r="530" spans="1:22" ht="135">
      <c r="A530" s="70">
        <v>95</v>
      </c>
      <c r="B530" s="168" t="s">
        <v>120</v>
      </c>
      <c r="C530" s="24">
        <v>1980</v>
      </c>
      <c r="D530" s="24"/>
      <c r="E530" s="24" t="s">
        <v>494</v>
      </c>
      <c r="F530" s="24">
        <v>5</v>
      </c>
      <c r="G530" s="24">
        <v>5</v>
      </c>
      <c r="H530" s="37">
        <v>3525.92</v>
      </c>
      <c r="I530" s="37">
        <v>3525.92</v>
      </c>
      <c r="J530" s="37">
        <v>3279.53</v>
      </c>
      <c r="K530" s="36">
        <v>150</v>
      </c>
      <c r="L530" s="24" t="s">
        <v>293</v>
      </c>
      <c r="M530" s="37">
        <v>3058277.27</v>
      </c>
      <c r="N530" s="37"/>
      <c r="O530" s="37"/>
      <c r="P530" s="37"/>
      <c r="Q530" s="37">
        <v>3058277.27</v>
      </c>
      <c r="R530" s="29">
        <f t="shared" si="44"/>
        <v>867.3700112311113</v>
      </c>
      <c r="S530" s="131">
        <v>14047.81</v>
      </c>
      <c r="T530" s="24" t="s">
        <v>1359</v>
      </c>
      <c r="U530" s="118">
        <v>6.3</v>
      </c>
      <c r="V530" s="296">
        <v>2019</v>
      </c>
    </row>
    <row r="531" spans="1:22" ht="43.5" customHeight="1">
      <c r="A531" s="70">
        <v>96</v>
      </c>
      <c r="B531" s="168" t="s">
        <v>121</v>
      </c>
      <c r="C531" s="24">
        <v>1979</v>
      </c>
      <c r="D531" s="24"/>
      <c r="E531" s="24" t="s">
        <v>374</v>
      </c>
      <c r="F531" s="24">
        <v>5</v>
      </c>
      <c r="G531" s="24">
        <v>8</v>
      </c>
      <c r="H531" s="37">
        <v>5434.94</v>
      </c>
      <c r="I531" s="37">
        <v>5434.94</v>
      </c>
      <c r="J531" s="37">
        <v>4661.58</v>
      </c>
      <c r="K531" s="36">
        <v>142</v>
      </c>
      <c r="L531" s="24" t="s">
        <v>72</v>
      </c>
      <c r="M531" s="37">
        <v>1565800.44</v>
      </c>
      <c r="N531" s="37"/>
      <c r="O531" s="37"/>
      <c r="P531" s="37"/>
      <c r="Q531" s="37">
        <v>1565800.44</v>
      </c>
      <c r="R531" s="29">
        <f t="shared" si="44"/>
        <v>288.09893761476667</v>
      </c>
      <c r="S531" s="131">
        <v>14047.81</v>
      </c>
      <c r="T531" s="24" t="s">
        <v>1359</v>
      </c>
      <c r="U531" s="118">
        <v>6.3</v>
      </c>
      <c r="V531" s="296">
        <v>2019</v>
      </c>
    </row>
    <row r="532" spans="1:22" ht="165">
      <c r="A532" s="70">
        <v>97</v>
      </c>
      <c r="B532" s="168" t="s">
        <v>122</v>
      </c>
      <c r="C532" s="24">
        <v>1978</v>
      </c>
      <c r="D532" s="24"/>
      <c r="E532" s="24" t="s">
        <v>374</v>
      </c>
      <c r="F532" s="24">
        <v>5</v>
      </c>
      <c r="G532" s="24">
        <v>4</v>
      </c>
      <c r="H532" s="37">
        <v>2868.82</v>
      </c>
      <c r="I532" s="37">
        <v>2868.82</v>
      </c>
      <c r="J532" s="37" t="s">
        <v>119</v>
      </c>
      <c r="K532" s="36">
        <v>77</v>
      </c>
      <c r="L532" s="24" t="s">
        <v>1540</v>
      </c>
      <c r="M532" s="37">
        <v>3501585.96</v>
      </c>
      <c r="N532" s="37"/>
      <c r="O532" s="37"/>
      <c r="P532" s="37"/>
      <c r="Q532" s="37">
        <v>3501585.96</v>
      </c>
      <c r="R532" s="29">
        <f t="shared" si="44"/>
        <v>1220.5666301824442</v>
      </c>
      <c r="S532" s="131">
        <v>14047.81</v>
      </c>
      <c r="T532" s="24" t="s">
        <v>1359</v>
      </c>
      <c r="U532" s="118">
        <v>6.3</v>
      </c>
      <c r="V532" s="296">
        <v>2019</v>
      </c>
    </row>
    <row r="533" spans="1:22" ht="15">
      <c r="A533" s="129"/>
      <c r="B533" s="112" t="s">
        <v>135</v>
      </c>
      <c r="C533" s="24"/>
      <c r="D533" s="24"/>
      <c r="E533" s="24"/>
      <c r="F533" s="24"/>
      <c r="G533" s="24"/>
      <c r="H533" s="81">
        <f>SUM(H527:H532)</f>
        <v>22551.5</v>
      </c>
      <c r="I533" s="81">
        <f>SUM(I527:I532)</f>
        <v>22551.5</v>
      </c>
      <c r="J533" s="81">
        <f>SUM(J527:J532)</f>
        <v>17581.010000000002</v>
      </c>
      <c r="K533" s="98">
        <f>SUM(K527:K532)</f>
        <v>729</v>
      </c>
      <c r="L533" s="81"/>
      <c r="M533" s="81">
        <f>SUM(M527:M532)</f>
        <v>20961500.87</v>
      </c>
      <c r="N533" s="81"/>
      <c r="O533" s="81"/>
      <c r="P533" s="81"/>
      <c r="Q533" s="81">
        <f>SUM(Q527:Q532)</f>
        <v>20961500.87</v>
      </c>
      <c r="R533" s="81">
        <f>SUM(R527:R532)</f>
        <v>5845.001030640897</v>
      </c>
      <c r="S533" s="133"/>
      <c r="T533" s="136"/>
      <c r="U533" s="142"/>
      <c r="V533" s="296"/>
    </row>
    <row r="534" spans="1:22" ht="15">
      <c r="A534" s="304" t="s">
        <v>1370</v>
      </c>
      <c r="B534" s="301"/>
      <c r="C534" s="301"/>
      <c r="D534" s="301"/>
      <c r="E534" s="301"/>
      <c r="F534" s="301"/>
      <c r="G534" s="301"/>
      <c r="H534" s="301"/>
      <c r="I534" s="301"/>
      <c r="J534" s="301"/>
      <c r="K534" s="301"/>
      <c r="L534" s="301"/>
      <c r="M534" s="301"/>
      <c r="N534" s="301"/>
      <c r="O534" s="301"/>
      <c r="P534" s="301"/>
      <c r="Q534" s="302"/>
      <c r="R534" s="301"/>
      <c r="S534" s="301"/>
      <c r="T534" s="301"/>
      <c r="U534" s="303"/>
      <c r="V534" s="296"/>
    </row>
    <row r="535" spans="1:22" ht="45">
      <c r="A535" s="70">
        <v>98</v>
      </c>
      <c r="B535" s="107" t="s">
        <v>736</v>
      </c>
      <c r="C535" s="24">
        <v>1963</v>
      </c>
      <c r="D535" s="24"/>
      <c r="E535" s="24" t="s">
        <v>374</v>
      </c>
      <c r="F535" s="24">
        <v>5</v>
      </c>
      <c r="G535" s="24">
        <v>4</v>
      </c>
      <c r="H535" s="37">
        <v>2930.68</v>
      </c>
      <c r="I535" s="37">
        <v>2930.68</v>
      </c>
      <c r="J535" s="37">
        <v>2887</v>
      </c>
      <c r="K535" s="36">
        <v>129</v>
      </c>
      <c r="L535" s="24" t="s">
        <v>489</v>
      </c>
      <c r="M535" s="37">
        <v>3431598.53</v>
      </c>
      <c r="N535" s="137"/>
      <c r="O535" s="137"/>
      <c r="P535" s="137"/>
      <c r="Q535" s="37">
        <v>3431598.53</v>
      </c>
      <c r="R535" s="37">
        <f>M535/I535</f>
        <v>1170.9222876602016</v>
      </c>
      <c r="S535" s="131">
        <v>14736.15</v>
      </c>
      <c r="T535" s="24" t="s">
        <v>1359</v>
      </c>
      <c r="U535" s="118">
        <v>6.3</v>
      </c>
      <c r="V535" s="296">
        <v>2019</v>
      </c>
    </row>
    <row r="536" spans="1:22" ht="45">
      <c r="A536" s="70">
        <v>99</v>
      </c>
      <c r="B536" s="107" t="s">
        <v>737</v>
      </c>
      <c r="C536" s="24">
        <v>1962</v>
      </c>
      <c r="D536" s="24"/>
      <c r="E536" s="24" t="s">
        <v>374</v>
      </c>
      <c r="F536" s="24">
        <v>4</v>
      </c>
      <c r="G536" s="24">
        <v>4</v>
      </c>
      <c r="H536" s="37">
        <v>2277.43</v>
      </c>
      <c r="I536" s="37">
        <v>2277.43</v>
      </c>
      <c r="J536" s="37">
        <v>2119.41</v>
      </c>
      <c r="K536" s="36">
        <v>87</v>
      </c>
      <c r="L536" s="24" t="s">
        <v>489</v>
      </c>
      <c r="M536" s="37">
        <v>2997612.69</v>
      </c>
      <c r="N536" s="137"/>
      <c r="O536" s="137"/>
      <c r="P536" s="137"/>
      <c r="Q536" s="37">
        <v>2997612.69</v>
      </c>
      <c r="R536" s="37">
        <f aca="true" t="shared" si="45" ref="R536:R575">M536/I536</f>
        <v>1316.2260486601126</v>
      </c>
      <c r="S536" s="131">
        <v>14736.15</v>
      </c>
      <c r="T536" s="24" t="s">
        <v>1359</v>
      </c>
      <c r="U536" s="118">
        <v>6.3</v>
      </c>
      <c r="V536" s="296">
        <v>2019</v>
      </c>
    </row>
    <row r="537" spans="1:22" ht="45">
      <c r="A537" s="70">
        <v>100</v>
      </c>
      <c r="B537" s="107" t="s">
        <v>738</v>
      </c>
      <c r="C537" s="24">
        <v>1958</v>
      </c>
      <c r="D537" s="24"/>
      <c r="E537" s="24" t="s">
        <v>374</v>
      </c>
      <c r="F537" s="24">
        <v>4</v>
      </c>
      <c r="G537" s="24">
        <v>5</v>
      </c>
      <c r="H537" s="37">
        <v>4404.9</v>
      </c>
      <c r="I537" s="37">
        <v>4404.9</v>
      </c>
      <c r="J537" s="37">
        <v>2532.78</v>
      </c>
      <c r="K537" s="36">
        <v>160</v>
      </c>
      <c r="L537" s="24" t="s">
        <v>489</v>
      </c>
      <c r="M537" s="37">
        <v>2998383.06</v>
      </c>
      <c r="N537" s="137"/>
      <c r="O537" s="137"/>
      <c r="P537" s="137"/>
      <c r="Q537" s="37">
        <v>2998383.06</v>
      </c>
      <c r="R537" s="37">
        <f t="shared" si="45"/>
        <v>680.6926513655249</v>
      </c>
      <c r="S537" s="131">
        <v>14736.15</v>
      </c>
      <c r="T537" s="24" t="s">
        <v>1359</v>
      </c>
      <c r="U537" s="118">
        <v>6.3</v>
      </c>
      <c r="V537" s="296">
        <v>2019</v>
      </c>
    </row>
    <row r="538" spans="1:22" ht="45">
      <c r="A538" s="70">
        <v>101</v>
      </c>
      <c r="B538" s="107" t="s">
        <v>739</v>
      </c>
      <c r="C538" s="24">
        <v>1961</v>
      </c>
      <c r="D538" s="24"/>
      <c r="E538" s="24" t="s">
        <v>374</v>
      </c>
      <c r="F538" s="24">
        <v>4</v>
      </c>
      <c r="G538" s="24">
        <v>2</v>
      </c>
      <c r="H538" s="37">
        <v>992.37</v>
      </c>
      <c r="I538" s="37">
        <v>992.37</v>
      </c>
      <c r="J538" s="37">
        <v>1237.94</v>
      </c>
      <c r="K538" s="36">
        <v>51</v>
      </c>
      <c r="L538" s="24" t="s">
        <v>489</v>
      </c>
      <c r="M538" s="37">
        <v>1890242.2</v>
      </c>
      <c r="N538" s="137"/>
      <c r="O538" s="137"/>
      <c r="P538" s="137"/>
      <c r="Q538" s="37">
        <v>1890242.2</v>
      </c>
      <c r="R538" s="37">
        <f t="shared" si="45"/>
        <v>1904.7756381188467</v>
      </c>
      <c r="S538" s="131">
        <v>14736.15</v>
      </c>
      <c r="T538" s="24" t="s">
        <v>1359</v>
      </c>
      <c r="U538" s="118">
        <v>6.3</v>
      </c>
      <c r="V538" s="296">
        <v>2019</v>
      </c>
    </row>
    <row r="539" spans="1:22" ht="45">
      <c r="A539" s="70">
        <v>102</v>
      </c>
      <c r="B539" s="128" t="s">
        <v>740</v>
      </c>
      <c r="C539" s="24">
        <v>1960</v>
      </c>
      <c r="D539" s="24"/>
      <c r="E539" s="24" t="s">
        <v>374</v>
      </c>
      <c r="F539" s="24">
        <v>2</v>
      </c>
      <c r="G539" s="24">
        <v>1</v>
      </c>
      <c r="H539" s="37">
        <v>320.54</v>
      </c>
      <c r="I539" s="37">
        <v>320.54</v>
      </c>
      <c r="J539" s="37">
        <v>320.54</v>
      </c>
      <c r="K539" s="36">
        <v>21</v>
      </c>
      <c r="L539" s="24" t="s">
        <v>489</v>
      </c>
      <c r="M539" s="37">
        <v>689464.73</v>
      </c>
      <c r="N539" s="137"/>
      <c r="O539" s="137"/>
      <c r="P539" s="137"/>
      <c r="Q539" s="37">
        <v>689464.73</v>
      </c>
      <c r="R539" s="37">
        <f t="shared" si="45"/>
        <v>2150.947557247145</v>
      </c>
      <c r="S539" s="131">
        <v>14736.15</v>
      </c>
      <c r="T539" s="24" t="s">
        <v>1359</v>
      </c>
      <c r="U539" s="118">
        <v>6.3</v>
      </c>
      <c r="V539" s="296">
        <v>2019</v>
      </c>
    </row>
    <row r="540" spans="1:22" ht="45">
      <c r="A540" s="70">
        <v>103</v>
      </c>
      <c r="B540" s="107" t="s">
        <v>741</v>
      </c>
      <c r="C540" s="24">
        <v>1959</v>
      </c>
      <c r="D540" s="24"/>
      <c r="E540" s="24" t="s">
        <v>467</v>
      </c>
      <c r="F540" s="24">
        <v>2</v>
      </c>
      <c r="G540" s="24">
        <v>1</v>
      </c>
      <c r="H540" s="37">
        <v>254.77</v>
      </c>
      <c r="I540" s="37">
        <v>254.77</v>
      </c>
      <c r="J540" s="37">
        <v>232.45</v>
      </c>
      <c r="K540" s="36">
        <v>21</v>
      </c>
      <c r="L540" s="24" t="s">
        <v>489</v>
      </c>
      <c r="M540" s="37">
        <v>562591</v>
      </c>
      <c r="N540" s="137"/>
      <c r="O540" s="137"/>
      <c r="P540" s="137"/>
      <c r="Q540" s="37">
        <v>562591</v>
      </c>
      <c r="R540" s="37">
        <f t="shared" si="45"/>
        <v>2208.230953408957</v>
      </c>
      <c r="S540" s="131">
        <v>14736.15</v>
      </c>
      <c r="T540" s="24" t="s">
        <v>1359</v>
      </c>
      <c r="U540" s="118">
        <v>6.3</v>
      </c>
      <c r="V540" s="296">
        <v>2019</v>
      </c>
    </row>
    <row r="541" spans="1:22" ht="45">
      <c r="A541" s="70">
        <v>104</v>
      </c>
      <c r="B541" s="107" t="s">
        <v>742</v>
      </c>
      <c r="C541" s="24">
        <v>1960</v>
      </c>
      <c r="D541" s="24"/>
      <c r="E541" s="24" t="s">
        <v>374</v>
      </c>
      <c r="F541" s="24">
        <v>4</v>
      </c>
      <c r="G541" s="24">
        <v>4</v>
      </c>
      <c r="H541" s="37">
        <v>2273.59</v>
      </c>
      <c r="I541" s="37">
        <v>2273.59</v>
      </c>
      <c r="J541" s="37">
        <v>1174</v>
      </c>
      <c r="K541" s="36">
        <v>87</v>
      </c>
      <c r="L541" s="24" t="s">
        <v>489</v>
      </c>
      <c r="M541" s="37">
        <v>3282406.27</v>
      </c>
      <c r="N541" s="137"/>
      <c r="O541" s="137"/>
      <c r="P541" s="137"/>
      <c r="Q541" s="37">
        <v>3282406.27</v>
      </c>
      <c r="R541" s="37">
        <f t="shared" si="45"/>
        <v>1443.7107262083312</v>
      </c>
      <c r="S541" s="131">
        <v>14736.15</v>
      </c>
      <c r="T541" s="24" t="s">
        <v>1359</v>
      </c>
      <c r="U541" s="118">
        <v>6.3</v>
      </c>
      <c r="V541" s="296">
        <v>2019</v>
      </c>
    </row>
    <row r="542" spans="1:22" ht="45">
      <c r="A542" s="70">
        <v>105</v>
      </c>
      <c r="B542" s="107" t="s">
        <v>743</v>
      </c>
      <c r="C542" s="24">
        <v>1959</v>
      </c>
      <c r="D542" s="24"/>
      <c r="E542" s="24" t="s">
        <v>374</v>
      </c>
      <c r="F542" s="24">
        <v>3</v>
      </c>
      <c r="G542" s="24">
        <v>3</v>
      </c>
      <c r="H542" s="37">
        <v>1652.16</v>
      </c>
      <c r="I542" s="37">
        <v>1652.16</v>
      </c>
      <c r="J542" s="37">
        <v>1591.4</v>
      </c>
      <c r="K542" s="36">
        <v>68</v>
      </c>
      <c r="L542" s="24" t="s">
        <v>489</v>
      </c>
      <c r="M542" s="37">
        <v>2667807.36</v>
      </c>
      <c r="N542" s="137"/>
      <c r="O542" s="137"/>
      <c r="P542" s="137"/>
      <c r="Q542" s="37">
        <v>2667807.36</v>
      </c>
      <c r="R542" s="37">
        <f t="shared" si="45"/>
        <v>1614.739105171412</v>
      </c>
      <c r="S542" s="131">
        <v>14736.15</v>
      </c>
      <c r="T542" s="24" t="s">
        <v>1359</v>
      </c>
      <c r="U542" s="118">
        <v>6.3</v>
      </c>
      <c r="V542" s="296">
        <v>2019</v>
      </c>
    </row>
    <row r="543" spans="1:22" ht="45">
      <c r="A543" s="70">
        <v>106</v>
      </c>
      <c r="B543" s="107" t="s">
        <v>744</v>
      </c>
      <c r="C543" s="24">
        <v>1959</v>
      </c>
      <c r="D543" s="24"/>
      <c r="E543" s="24" t="s">
        <v>467</v>
      </c>
      <c r="F543" s="24">
        <v>2</v>
      </c>
      <c r="G543" s="24">
        <v>1</v>
      </c>
      <c r="H543" s="37">
        <v>254.77</v>
      </c>
      <c r="I543" s="37">
        <v>254.77</v>
      </c>
      <c r="J543" s="37">
        <v>230.05</v>
      </c>
      <c r="K543" s="36">
        <v>18</v>
      </c>
      <c r="L543" s="24" t="s">
        <v>489</v>
      </c>
      <c r="M543" s="37">
        <v>562591</v>
      </c>
      <c r="N543" s="137"/>
      <c r="O543" s="137"/>
      <c r="P543" s="137"/>
      <c r="Q543" s="37">
        <v>562591</v>
      </c>
      <c r="R543" s="37">
        <f t="shared" si="45"/>
        <v>2208.230953408957</v>
      </c>
      <c r="S543" s="131">
        <v>14736.15</v>
      </c>
      <c r="T543" s="24" t="s">
        <v>1359</v>
      </c>
      <c r="U543" s="118">
        <v>6.3</v>
      </c>
      <c r="V543" s="296">
        <v>2019</v>
      </c>
    </row>
    <row r="544" spans="1:22" ht="45">
      <c r="A544" s="70">
        <v>107</v>
      </c>
      <c r="B544" s="107" t="s">
        <v>745</v>
      </c>
      <c r="C544" s="24">
        <v>1959</v>
      </c>
      <c r="D544" s="24"/>
      <c r="E544" s="24" t="s">
        <v>467</v>
      </c>
      <c r="F544" s="24">
        <v>2</v>
      </c>
      <c r="G544" s="24">
        <v>1</v>
      </c>
      <c r="H544" s="37">
        <v>254.15</v>
      </c>
      <c r="I544" s="37">
        <v>254.15</v>
      </c>
      <c r="J544" s="37">
        <v>229.41</v>
      </c>
      <c r="K544" s="36">
        <v>17</v>
      </c>
      <c r="L544" s="24" t="s">
        <v>489</v>
      </c>
      <c r="M544" s="37">
        <v>570166</v>
      </c>
      <c r="N544" s="137"/>
      <c r="O544" s="137"/>
      <c r="P544" s="137"/>
      <c r="Q544" s="37">
        <v>570166</v>
      </c>
      <c r="R544" s="37">
        <f t="shared" si="45"/>
        <v>2243.423175290183</v>
      </c>
      <c r="S544" s="131">
        <v>14736.15</v>
      </c>
      <c r="T544" s="24" t="s">
        <v>1359</v>
      </c>
      <c r="U544" s="118">
        <v>6.3</v>
      </c>
      <c r="V544" s="296">
        <v>2019</v>
      </c>
    </row>
    <row r="545" spans="1:22" ht="45">
      <c r="A545" s="70">
        <v>108</v>
      </c>
      <c r="B545" s="107" t="s">
        <v>746</v>
      </c>
      <c r="C545" s="24">
        <v>1959</v>
      </c>
      <c r="D545" s="24"/>
      <c r="E545" s="24" t="s">
        <v>467</v>
      </c>
      <c r="F545" s="24">
        <v>2</v>
      </c>
      <c r="G545" s="24">
        <v>1</v>
      </c>
      <c r="H545" s="37">
        <v>254.15</v>
      </c>
      <c r="I545" s="37">
        <v>254.15</v>
      </c>
      <c r="J545" s="37">
        <v>237.6</v>
      </c>
      <c r="K545" s="36">
        <v>15</v>
      </c>
      <c r="L545" s="24" t="s">
        <v>489</v>
      </c>
      <c r="M545" s="37">
        <v>551195.09</v>
      </c>
      <c r="N545" s="137"/>
      <c r="O545" s="137"/>
      <c r="P545" s="137"/>
      <c r="Q545" s="37">
        <v>551195.09</v>
      </c>
      <c r="R545" s="37">
        <f t="shared" si="45"/>
        <v>2168.778634664568</v>
      </c>
      <c r="S545" s="131">
        <v>14736.15</v>
      </c>
      <c r="T545" s="24" t="s">
        <v>1359</v>
      </c>
      <c r="U545" s="118">
        <v>6.3</v>
      </c>
      <c r="V545" s="296">
        <v>2019</v>
      </c>
    </row>
    <row r="546" spans="1:22" ht="45">
      <c r="A546" s="70">
        <v>109</v>
      </c>
      <c r="B546" s="107" t="s">
        <v>747</v>
      </c>
      <c r="C546" s="24">
        <v>1959</v>
      </c>
      <c r="D546" s="24"/>
      <c r="E546" s="24" t="s">
        <v>467</v>
      </c>
      <c r="F546" s="24">
        <v>2</v>
      </c>
      <c r="G546" s="24">
        <v>1</v>
      </c>
      <c r="H546" s="37">
        <v>254.15</v>
      </c>
      <c r="I546" s="37">
        <v>254.15</v>
      </c>
      <c r="J546" s="37">
        <v>192.76</v>
      </c>
      <c r="K546" s="36">
        <v>16</v>
      </c>
      <c r="L546" s="24" t="s">
        <v>489</v>
      </c>
      <c r="M546" s="37">
        <v>576729.52</v>
      </c>
      <c r="N546" s="137"/>
      <c r="O546" s="137"/>
      <c r="P546" s="137"/>
      <c r="Q546" s="37">
        <v>576729.52</v>
      </c>
      <c r="R546" s="37">
        <f t="shared" si="45"/>
        <v>2269.2485540035414</v>
      </c>
      <c r="S546" s="131">
        <v>14736.15</v>
      </c>
      <c r="T546" s="24" t="s">
        <v>1359</v>
      </c>
      <c r="U546" s="118">
        <v>6.3</v>
      </c>
      <c r="V546" s="296">
        <v>2019</v>
      </c>
    </row>
    <row r="547" spans="1:22" ht="45">
      <c r="A547" s="70">
        <v>110</v>
      </c>
      <c r="B547" s="107" t="s">
        <v>748</v>
      </c>
      <c r="C547" s="24">
        <v>1959</v>
      </c>
      <c r="D547" s="24"/>
      <c r="E547" s="24" t="s">
        <v>467</v>
      </c>
      <c r="F547" s="24">
        <v>2</v>
      </c>
      <c r="G547" s="24">
        <v>1</v>
      </c>
      <c r="H547" s="37">
        <v>262.55</v>
      </c>
      <c r="I547" s="37">
        <v>262.55</v>
      </c>
      <c r="J547" s="37">
        <v>262.55</v>
      </c>
      <c r="K547" s="36">
        <v>12</v>
      </c>
      <c r="L547" s="24" t="s">
        <v>489</v>
      </c>
      <c r="M547" s="37">
        <v>562591</v>
      </c>
      <c r="N547" s="137"/>
      <c r="O547" s="137"/>
      <c r="P547" s="137"/>
      <c r="Q547" s="37">
        <v>562591</v>
      </c>
      <c r="R547" s="37">
        <f t="shared" si="45"/>
        <v>2142.7956579699103</v>
      </c>
      <c r="S547" s="131">
        <v>14736.15</v>
      </c>
      <c r="T547" s="24" t="s">
        <v>1359</v>
      </c>
      <c r="U547" s="118">
        <v>6.3</v>
      </c>
      <c r="V547" s="296">
        <v>2019</v>
      </c>
    </row>
    <row r="548" spans="1:22" ht="45">
      <c r="A548" s="70">
        <v>111</v>
      </c>
      <c r="B548" s="107" t="s">
        <v>749</v>
      </c>
      <c r="C548" s="24">
        <v>1961</v>
      </c>
      <c r="D548" s="24"/>
      <c r="E548" s="24" t="s">
        <v>467</v>
      </c>
      <c r="F548" s="24">
        <v>2</v>
      </c>
      <c r="G548" s="24">
        <v>1</v>
      </c>
      <c r="H548" s="37">
        <v>254.15</v>
      </c>
      <c r="I548" s="37">
        <v>254.15</v>
      </c>
      <c r="J548" s="37">
        <v>192.54</v>
      </c>
      <c r="K548" s="36">
        <v>20</v>
      </c>
      <c r="L548" s="24" t="s">
        <v>489</v>
      </c>
      <c r="M548" s="37">
        <v>562591</v>
      </c>
      <c r="N548" s="137"/>
      <c r="O548" s="137"/>
      <c r="P548" s="137"/>
      <c r="Q548" s="37">
        <v>562591</v>
      </c>
      <c r="R548" s="37">
        <f t="shared" si="45"/>
        <v>2213.6179421601414</v>
      </c>
      <c r="S548" s="131">
        <v>14736.15</v>
      </c>
      <c r="T548" s="24" t="s">
        <v>1359</v>
      </c>
      <c r="U548" s="118">
        <v>6.3</v>
      </c>
      <c r="V548" s="296">
        <v>2019</v>
      </c>
    </row>
    <row r="549" spans="1:22" ht="45">
      <c r="A549" s="70">
        <v>112</v>
      </c>
      <c r="B549" s="107" t="s">
        <v>469</v>
      </c>
      <c r="C549" s="24">
        <v>1963</v>
      </c>
      <c r="D549" s="24"/>
      <c r="E549" s="24" t="s">
        <v>374</v>
      </c>
      <c r="F549" s="24">
        <v>4</v>
      </c>
      <c r="G549" s="24">
        <v>3</v>
      </c>
      <c r="H549" s="37">
        <v>2026.9</v>
      </c>
      <c r="I549" s="37">
        <v>2026.9</v>
      </c>
      <c r="J549" s="37">
        <v>1920.65</v>
      </c>
      <c r="K549" s="36">
        <v>97</v>
      </c>
      <c r="L549" s="24" t="s">
        <v>489</v>
      </c>
      <c r="M549" s="37">
        <v>2037037.4</v>
      </c>
      <c r="N549" s="137"/>
      <c r="O549" s="137"/>
      <c r="P549" s="137"/>
      <c r="Q549" s="37">
        <v>2037037.4</v>
      </c>
      <c r="R549" s="37">
        <f t="shared" si="45"/>
        <v>1005.0014307563273</v>
      </c>
      <c r="S549" s="131">
        <v>14736.15</v>
      </c>
      <c r="T549" s="24" t="s">
        <v>1359</v>
      </c>
      <c r="U549" s="118">
        <v>6.3</v>
      </c>
      <c r="V549" s="296">
        <v>2019</v>
      </c>
    </row>
    <row r="550" spans="1:22" ht="45">
      <c r="A550" s="70">
        <v>113</v>
      </c>
      <c r="B550" s="107" t="s">
        <v>470</v>
      </c>
      <c r="C550" s="24">
        <v>1960</v>
      </c>
      <c r="D550" s="24"/>
      <c r="E550" s="24" t="s">
        <v>374</v>
      </c>
      <c r="F550" s="24">
        <v>3</v>
      </c>
      <c r="G550" s="24">
        <v>3</v>
      </c>
      <c r="H550" s="37">
        <v>727.28</v>
      </c>
      <c r="I550" s="37">
        <v>727.28</v>
      </c>
      <c r="J550" s="37">
        <v>663.78</v>
      </c>
      <c r="K550" s="36">
        <v>56</v>
      </c>
      <c r="L550" s="24" t="s">
        <v>489</v>
      </c>
      <c r="M550" s="37">
        <v>1168093.23</v>
      </c>
      <c r="N550" s="137"/>
      <c r="O550" s="137"/>
      <c r="P550" s="137"/>
      <c r="Q550" s="37">
        <v>1168093.23</v>
      </c>
      <c r="R550" s="37">
        <f t="shared" si="45"/>
        <v>1606.1121301286987</v>
      </c>
      <c r="S550" s="131">
        <v>14736.15</v>
      </c>
      <c r="T550" s="24" t="s">
        <v>1359</v>
      </c>
      <c r="U550" s="118">
        <v>6.3</v>
      </c>
      <c r="V550" s="296">
        <v>2019</v>
      </c>
    </row>
    <row r="551" spans="1:22" ht="45">
      <c r="A551" s="70">
        <v>114</v>
      </c>
      <c r="B551" s="107" t="s">
        <v>434</v>
      </c>
      <c r="C551" s="24">
        <v>1960</v>
      </c>
      <c r="D551" s="24"/>
      <c r="E551" s="24" t="s">
        <v>374</v>
      </c>
      <c r="F551" s="24">
        <v>4</v>
      </c>
      <c r="G551" s="24">
        <v>3</v>
      </c>
      <c r="H551" s="37">
        <v>1921.22</v>
      </c>
      <c r="I551" s="37">
        <v>1921.22</v>
      </c>
      <c r="J551" s="37">
        <v>1761.98</v>
      </c>
      <c r="K551" s="36">
        <v>74</v>
      </c>
      <c r="L551" s="24" t="s">
        <v>489</v>
      </c>
      <c r="M551" s="37">
        <v>2696036.54</v>
      </c>
      <c r="N551" s="137"/>
      <c r="O551" s="137"/>
      <c r="P551" s="137"/>
      <c r="Q551" s="37">
        <v>2696036.54</v>
      </c>
      <c r="R551" s="37">
        <f t="shared" si="45"/>
        <v>1403.2940215071674</v>
      </c>
      <c r="S551" s="131">
        <v>14736.15</v>
      </c>
      <c r="T551" s="24" t="s">
        <v>1359</v>
      </c>
      <c r="U551" s="118">
        <v>6.3</v>
      </c>
      <c r="V551" s="296">
        <v>2019</v>
      </c>
    </row>
    <row r="552" spans="1:22" ht="45">
      <c r="A552" s="70">
        <v>115</v>
      </c>
      <c r="B552" s="107" t="s">
        <v>750</v>
      </c>
      <c r="C552" s="24">
        <v>1960</v>
      </c>
      <c r="D552" s="24"/>
      <c r="E552" s="24" t="s">
        <v>374</v>
      </c>
      <c r="F552" s="24">
        <v>4</v>
      </c>
      <c r="G552" s="24">
        <v>2</v>
      </c>
      <c r="H552" s="37">
        <v>1273.54</v>
      </c>
      <c r="I552" s="37">
        <v>1273.54</v>
      </c>
      <c r="J552" s="37">
        <v>1274.06</v>
      </c>
      <c r="K552" s="36">
        <v>41</v>
      </c>
      <c r="L552" s="24" t="s">
        <v>489</v>
      </c>
      <c r="M552" s="37">
        <v>1809329.97</v>
      </c>
      <c r="N552" s="137"/>
      <c r="O552" s="137"/>
      <c r="P552" s="137"/>
      <c r="Q552" s="37">
        <v>1809329.97</v>
      </c>
      <c r="R552" s="37">
        <f t="shared" si="45"/>
        <v>1420.7091807088902</v>
      </c>
      <c r="S552" s="131">
        <v>14736.15</v>
      </c>
      <c r="T552" s="24" t="s">
        <v>1359</v>
      </c>
      <c r="U552" s="118">
        <v>6.3</v>
      </c>
      <c r="V552" s="296">
        <v>2019</v>
      </c>
    </row>
    <row r="553" spans="1:22" ht="45">
      <c r="A553" s="70">
        <v>116</v>
      </c>
      <c r="B553" s="107" t="s">
        <v>471</v>
      </c>
      <c r="C553" s="24">
        <v>1963</v>
      </c>
      <c r="D553" s="24"/>
      <c r="E553" s="24" t="s">
        <v>374</v>
      </c>
      <c r="F553" s="24">
        <v>2</v>
      </c>
      <c r="G553" s="24">
        <v>1</v>
      </c>
      <c r="H553" s="37">
        <v>545.08</v>
      </c>
      <c r="I553" s="37">
        <v>545.08</v>
      </c>
      <c r="J553" s="37">
        <v>409.48</v>
      </c>
      <c r="K553" s="36">
        <v>34</v>
      </c>
      <c r="L553" s="24" t="s">
        <v>489</v>
      </c>
      <c r="M553" s="37">
        <v>1344057.13</v>
      </c>
      <c r="N553" s="137"/>
      <c r="O553" s="137"/>
      <c r="P553" s="137"/>
      <c r="Q553" s="37">
        <v>1344057.13</v>
      </c>
      <c r="R553" s="37">
        <f t="shared" si="45"/>
        <v>2465.797919571439</v>
      </c>
      <c r="S553" s="131">
        <v>14736.15</v>
      </c>
      <c r="T553" s="24" t="s">
        <v>1359</v>
      </c>
      <c r="U553" s="118">
        <v>6.3</v>
      </c>
      <c r="V553" s="296">
        <v>2019</v>
      </c>
    </row>
    <row r="554" spans="1:22" ht="45">
      <c r="A554" s="70">
        <v>117</v>
      </c>
      <c r="B554" s="107" t="s">
        <v>472</v>
      </c>
      <c r="C554" s="24">
        <v>1960</v>
      </c>
      <c r="D554" s="24"/>
      <c r="E554" s="24" t="s">
        <v>374</v>
      </c>
      <c r="F554" s="24">
        <v>2</v>
      </c>
      <c r="G554" s="24">
        <v>1</v>
      </c>
      <c r="H554" s="37">
        <v>256.15</v>
      </c>
      <c r="I554" s="37">
        <v>256.15</v>
      </c>
      <c r="J554" s="37">
        <v>255.75</v>
      </c>
      <c r="K554" s="36">
        <v>22</v>
      </c>
      <c r="L554" s="24" t="s">
        <v>489</v>
      </c>
      <c r="M554" s="37">
        <v>657466.42</v>
      </c>
      <c r="N554" s="137"/>
      <c r="O554" s="137"/>
      <c r="P554" s="137"/>
      <c r="Q554" s="37">
        <v>657466.42</v>
      </c>
      <c r="R554" s="37">
        <f t="shared" si="45"/>
        <v>2566.724263127074</v>
      </c>
      <c r="S554" s="131">
        <v>14736.15</v>
      </c>
      <c r="T554" s="24" t="s">
        <v>1359</v>
      </c>
      <c r="U554" s="118">
        <v>6.3</v>
      </c>
      <c r="V554" s="296">
        <v>2019</v>
      </c>
    </row>
    <row r="555" spans="1:22" ht="45">
      <c r="A555" s="70">
        <v>118</v>
      </c>
      <c r="B555" s="107" t="s">
        <v>473</v>
      </c>
      <c r="C555" s="24">
        <v>1959</v>
      </c>
      <c r="D555" s="24"/>
      <c r="E555" s="24" t="s">
        <v>374</v>
      </c>
      <c r="F555" s="24">
        <v>4</v>
      </c>
      <c r="G555" s="24">
        <v>3</v>
      </c>
      <c r="H555" s="37">
        <v>1933.47</v>
      </c>
      <c r="I555" s="37">
        <v>1933.47</v>
      </c>
      <c r="J555" s="37">
        <v>1804.26</v>
      </c>
      <c r="K555" s="36">
        <v>86</v>
      </c>
      <c r="L555" s="24" t="s">
        <v>489</v>
      </c>
      <c r="M555" s="37">
        <v>2609209.53</v>
      </c>
      <c r="N555" s="137"/>
      <c r="O555" s="137"/>
      <c r="P555" s="137"/>
      <c r="Q555" s="37">
        <v>2609209.53</v>
      </c>
      <c r="R555" s="37">
        <f t="shared" si="45"/>
        <v>1349.4957408183213</v>
      </c>
      <c r="S555" s="131">
        <v>14736.15</v>
      </c>
      <c r="T555" s="24" t="s">
        <v>1359</v>
      </c>
      <c r="U555" s="118">
        <v>6.3</v>
      </c>
      <c r="V555" s="296">
        <v>2019</v>
      </c>
    </row>
    <row r="556" spans="1:22" ht="45">
      <c r="A556" s="70">
        <v>119</v>
      </c>
      <c r="B556" s="107" t="s">
        <v>474</v>
      </c>
      <c r="C556" s="24">
        <v>1963</v>
      </c>
      <c r="D556" s="24"/>
      <c r="E556" s="24" t="s">
        <v>374</v>
      </c>
      <c r="F556" s="24">
        <v>4</v>
      </c>
      <c r="G556" s="24">
        <v>2</v>
      </c>
      <c r="H556" s="37">
        <v>1273.99</v>
      </c>
      <c r="I556" s="37">
        <v>1273.99</v>
      </c>
      <c r="J556" s="37">
        <v>1230.99</v>
      </c>
      <c r="K556" s="36">
        <v>71</v>
      </c>
      <c r="L556" s="24" t="s">
        <v>489</v>
      </c>
      <c r="M556" s="37">
        <v>1583980.75</v>
      </c>
      <c r="N556" s="137"/>
      <c r="O556" s="137"/>
      <c r="P556" s="137"/>
      <c r="Q556" s="37">
        <v>1583980.75</v>
      </c>
      <c r="R556" s="37">
        <f t="shared" si="45"/>
        <v>1243.322749786105</v>
      </c>
      <c r="S556" s="131">
        <v>14736.15</v>
      </c>
      <c r="T556" s="24" t="s">
        <v>1359</v>
      </c>
      <c r="U556" s="118">
        <v>6.3</v>
      </c>
      <c r="V556" s="296">
        <v>2019</v>
      </c>
    </row>
    <row r="557" spans="1:22" ht="45">
      <c r="A557" s="70">
        <v>120</v>
      </c>
      <c r="B557" s="107" t="s">
        <v>475</v>
      </c>
      <c r="C557" s="24">
        <v>1962</v>
      </c>
      <c r="D557" s="24"/>
      <c r="E557" s="24" t="s">
        <v>374</v>
      </c>
      <c r="F557" s="24">
        <v>4</v>
      </c>
      <c r="G557" s="24">
        <v>2</v>
      </c>
      <c r="H557" s="37">
        <v>1282</v>
      </c>
      <c r="I557" s="37">
        <v>1282</v>
      </c>
      <c r="J557" s="37">
        <v>1280.29</v>
      </c>
      <c r="K557" s="36">
        <v>53</v>
      </c>
      <c r="L557" s="24" t="s">
        <v>489</v>
      </c>
      <c r="M557" s="37">
        <v>1568580.08</v>
      </c>
      <c r="N557" s="137"/>
      <c r="O557" s="137"/>
      <c r="P557" s="137"/>
      <c r="Q557" s="37">
        <v>1568580.08</v>
      </c>
      <c r="R557" s="37">
        <f t="shared" si="45"/>
        <v>1223.5414040561623</v>
      </c>
      <c r="S557" s="131">
        <v>14736.15</v>
      </c>
      <c r="T557" s="24" t="s">
        <v>1359</v>
      </c>
      <c r="U557" s="118">
        <v>6.3</v>
      </c>
      <c r="V557" s="296">
        <v>2019</v>
      </c>
    </row>
    <row r="558" spans="1:22" ht="45">
      <c r="A558" s="70">
        <v>121</v>
      </c>
      <c r="B558" s="107" t="s">
        <v>476</v>
      </c>
      <c r="C558" s="24">
        <v>1963</v>
      </c>
      <c r="D558" s="24"/>
      <c r="E558" s="24" t="s">
        <v>374</v>
      </c>
      <c r="F558" s="24">
        <v>4</v>
      </c>
      <c r="G558" s="24">
        <v>2</v>
      </c>
      <c r="H558" s="37">
        <v>1299.44</v>
      </c>
      <c r="I558" s="37">
        <v>1299.44</v>
      </c>
      <c r="J558" s="37">
        <v>1199.19</v>
      </c>
      <c r="K558" s="36">
        <v>54</v>
      </c>
      <c r="L558" s="24" t="s">
        <v>489</v>
      </c>
      <c r="M558" s="37">
        <v>1540282.98</v>
      </c>
      <c r="N558" s="137"/>
      <c r="O558" s="137"/>
      <c r="P558" s="137"/>
      <c r="Q558" s="37">
        <v>1540282.98</v>
      </c>
      <c r="R558" s="37">
        <f t="shared" si="45"/>
        <v>1185.343671119867</v>
      </c>
      <c r="S558" s="131">
        <v>14736.15</v>
      </c>
      <c r="T558" s="24" t="s">
        <v>1359</v>
      </c>
      <c r="U558" s="118">
        <v>6.3</v>
      </c>
      <c r="V558" s="296">
        <v>2019</v>
      </c>
    </row>
    <row r="559" spans="1:22" ht="45">
      <c r="A559" s="70">
        <v>122</v>
      </c>
      <c r="B559" s="107" t="s">
        <v>468</v>
      </c>
      <c r="C559" s="24">
        <v>1956</v>
      </c>
      <c r="D559" s="24"/>
      <c r="E559" s="24" t="s">
        <v>374</v>
      </c>
      <c r="F559" s="24">
        <v>2</v>
      </c>
      <c r="G559" s="24">
        <v>1</v>
      </c>
      <c r="H559" s="37">
        <v>252.16</v>
      </c>
      <c r="I559" s="37">
        <v>252.16</v>
      </c>
      <c r="J559" s="37">
        <v>252.16</v>
      </c>
      <c r="K559" s="36">
        <v>8</v>
      </c>
      <c r="L559" s="24" t="s">
        <v>489</v>
      </c>
      <c r="M559" s="37">
        <v>695795.65</v>
      </c>
      <c r="N559" s="137"/>
      <c r="O559" s="137"/>
      <c r="P559" s="137"/>
      <c r="Q559" s="37">
        <v>695795.65</v>
      </c>
      <c r="R559" s="37">
        <f t="shared" si="45"/>
        <v>2759.341886104061</v>
      </c>
      <c r="S559" s="131">
        <v>14736.15</v>
      </c>
      <c r="T559" s="24" t="s">
        <v>1359</v>
      </c>
      <c r="U559" s="118">
        <v>6.3</v>
      </c>
      <c r="V559" s="296">
        <v>2019</v>
      </c>
    </row>
    <row r="560" spans="1:22" ht="45">
      <c r="A560" s="70">
        <v>123</v>
      </c>
      <c r="B560" s="107" t="s">
        <v>125</v>
      </c>
      <c r="C560" s="24">
        <v>1959</v>
      </c>
      <c r="D560" s="24"/>
      <c r="E560" s="24" t="s">
        <v>1490</v>
      </c>
      <c r="F560" s="24">
        <v>2</v>
      </c>
      <c r="G560" s="24">
        <v>1</v>
      </c>
      <c r="H560" s="24">
        <v>285.51</v>
      </c>
      <c r="I560" s="24">
        <v>285.51</v>
      </c>
      <c r="J560" s="24">
        <v>262.95</v>
      </c>
      <c r="K560" s="36">
        <v>30</v>
      </c>
      <c r="L560" s="24" t="s">
        <v>489</v>
      </c>
      <c r="M560" s="37">
        <v>921676.5</v>
      </c>
      <c r="N560" s="137"/>
      <c r="O560" s="137"/>
      <c r="P560" s="137"/>
      <c r="Q560" s="37">
        <v>921676.5</v>
      </c>
      <c r="R560" s="37">
        <f t="shared" si="45"/>
        <v>3228.1758957654724</v>
      </c>
      <c r="S560" s="131">
        <v>14736.15</v>
      </c>
      <c r="T560" s="24" t="s">
        <v>1359</v>
      </c>
      <c r="U560" s="118">
        <v>6.3</v>
      </c>
      <c r="V560" s="296">
        <v>2019</v>
      </c>
    </row>
    <row r="561" spans="1:22" ht="45">
      <c r="A561" s="70">
        <v>124</v>
      </c>
      <c r="B561" s="107" t="s">
        <v>1491</v>
      </c>
      <c r="C561" s="24">
        <v>1975</v>
      </c>
      <c r="D561" s="24"/>
      <c r="E561" s="24" t="s">
        <v>374</v>
      </c>
      <c r="F561" s="24">
        <v>5</v>
      </c>
      <c r="G561" s="24">
        <v>4</v>
      </c>
      <c r="H561" s="24">
        <v>3577.18</v>
      </c>
      <c r="I561" s="24">
        <v>3306.08</v>
      </c>
      <c r="J561" s="24">
        <v>3034.98</v>
      </c>
      <c r="K561" s="36">
        <v>229</v>
      </c>
      <c r="L561" s="24" t="s">
        <v>489</v>
      </c>
      <c r="M561" s="37">
        <v>2458084.52</v>
      </c>
      <c r="N561" s="137"/>
      <c r="O561" s="137"/>
      <c r="P561" s="137"/>
      <c r="Q561" s="37">
        <v>2458084.52</v>
      </c>
      <c r="R561" s="37">
        <f t="shared" si="45"/>
        <v>743.5042467211925</v>
      </c>
      <c r="S561" s="131">
        <v>14736.15</v>
      </c>
      <c r="T561" s="24" t="s">
        <v>1359</v>
      </c>
      <c r="U561" s="118">
        <v>6.3</v>
      </c>
      <c r="V561" s="296">
        <v>2019</v>
      </c>
    </row>
    <row r="562" spans="1:22" ht="75">
      <c r="A562" s="70">
        <v>125</v>
      </c>
      <c r="B562" s="107" t="s">
        <v>481</v>
      </c>
      <c r="C562" s="24">
        <v>1966</v>
      </c>
      <c r="D562" s="24"/>
      <c r="E562" s="24" t="s">
        <v>374</v>
      </c>
      <c r="F562" s="24">
        <v>5</v>
      </c>
      <c r="G562" s="24">
        <v>4</v>
      </c>
      <c r="H562" s="24">
        <v>3400.97</v>
      </c>
      <c r="I562" s="24">
        <v>3151.38</v>
      </c>
      <c r="J562" s="24">
        <v>2901.79</v>
      </c>
      <c r="K562" s="36">
        <v>214</v>
      </c>
      <c r="L562" s="24" t="s">
        <v>196</v>
      </c>
      <c r="M562" s="37">
        <v>2513504.18</v>
      </c>
      <c r="N562" s="137"/>
      <c r="O562" s="137"/>
      <c r="P562" s="137"/>
      <c r="Q562" s="37">
        <v>2513504.18</v>
      </c>
      <c r="R562" s="37">
        <f t="shared" si="45"/>
        <v>797.588415233961</v>
      </c>
      <c r="S562" s="131">
        <v>14736.15</v>
      </c>
      <c r="T562" s="24" t="s">
        <v>1359</v>
      </c>
      <c r="U562" s="118">
        <v>6.3</v>
      </c>
      <c r="V562" s="296">
        <v>2019</v>
      </c>
    </row>
    <row r="563" spans="1:22" ht="75">
      <c r="A563" s="70">
        <v>126</v>
      </c>
      <c r="B563" s="107" t="s">
        <v>1492</v>
      </c>
      <c r="C563" s="24">
        <v>1970</v>
      </c>
      <c r="D563" s="24"/>
      <c r="E563" s="24" t="s">
        <v>494</v>
      </c>
      <c r="F563" s="24">
        <v>5</v>
      </c>
      <c r="G563" s="24">
        <v>4</v>
      </c>
      <c r="H563" s="24">
        <v>3540.82</v>
      </c>
      <c r="I563" s="24">
        <v>2414.87</v>
      </c>
      <c r="J563" s="24">
        <v>3363.7</v>
      </c>
      <c r="K563" s="36">
        <v>179</v>
      </c>
      <c r="L563" s="24" t="s">
        <v>196</v>
      </c>
      <c r="M563" s="37">
        <v>2380153.4</v>
      </c>
      <c r="N563" s="137"/>
      <c r="O563" s="137"/>
      <c r="P563" s="137"/>
      <c r="Q563" s="37">
        <v>2380153.4</v>
      </c>
      <c r="R563" s="37">
        <f t="shared" si="45"/>
        <v>985.6238224003777</v>
      </c>
      <c r="S563" s="131">
        <v>14736.15</v>
      </c>
      <c r="T563" s="24" t="s">
        <v>1359</v>
      </c>
      <c r="U563" s="118">
        <v>6.3</v>
      </c>
      <c r="V563" s="296">
        <v>2019</v>
      </c>
    </row>
    <row r="564" spans="1:22" ht="45">
      <c r="A564" s="70">
        <v>127</v>
      </c>
      <c r="B564" s="107" t="s">
        <v>1493</v>
      </c>
      <c r="C564" s="24">
        <v>1970</v>
      </c>
      <c r="D564" s="24"/>
      <c r="E564" s="24" t="s">
        <v>374</v>
      </c>
      <c r="F564" s="24">
        <v>2</v>
      </c>
      <c r="G564" s="24">
        <v>2</v>
      </c>
      <c r="H564" s="24">
        <v>524.9</v>
      </c>
      <c r="I564" s="24">
        <v>464.6</v>
      </c>
      <c r="J564" s="24">
        <v>404.3</v>
      </c>
      <c r="K564" s="36">
        <v>30</v>
      </c>
      <c r="L564" s="24" t="s">
        <v>489</v>
      </c>
      <c r="M564" s="37">
        <v>1813414.75</v>
      </c>
      <c r="N564" s="137"/>
      <c r="O564" s="137"/>
      <c r="P564" s="137"/>
      <c r="Q564" s="37">
        <v>1813414.75</v>
      </c>
      <c r="R564" s="37">
        <f t="shared" si="45"/>
        <v>3903.174235901851</v>
      </c>
      <c r="S564" s="131">
        <v>14736.15</v>
      </c>
      <c r="T564" s="24" t="s">
        <v>1359</v>
      </c>
      <c r="U564" s="118">
        <v>6.3</v>
      </c>
      <c r="V564" s="296">
        <v>2019</v>
      </c>
    </row>
    <row r="565" spans="1:22" ht="45">
      <c r="A565" s="70">
        <v>128</v>
      </c>
      <c r="B565" s="107" t="s">
        <v>1494</v>
      </c>
      <c r="C565" s="24">
        <v>1989</v>
      </c>
      <c r="D565" s="24"/>
      <c r="E565" s="24" t="s">
        <v>374</v>
      </c>
      <c r="F565" s="24">
        <v>2</v>
      </c>
      <c r="G565" s="24">
        <v>1</v>
      </c>
      <c r="H565" s="24">
        <v>404.13</v>
      </c>
      <c r="I565" s="24">
        <v>371.34</v>
      </c>
      <c r="J565" s="24">
        <v>338.55</v>
      </c>
      <c r="K565" s="36">
        <v>29</v>
      </c>
      <c r="L565" s="24" t="s">
        <v>489</v>
      </c>
      <c r="M565" s="37">
        <v>1239064.68</v>
      </c>
      <c r="N565" s="137"/>
      <c r="O565" s="137"/>
      <c r="P565" s="137"/>
      <c r="Q565" s="37">
        <v>1239064.68</v>
      </c>
      <c r="R565" s="37">
        <f t="shared" si="45"/>
        <v>3336.7390531588303</v>
      </c>
      <c r="S565" s="131">
        <v>14736.15</v>
      </c>
      <c r="T565" s="24" t="s">
        <v>1359</v>
      </c>
      <c r="U565" s="118">
        <v>6.3</v>
      </c>
      <c r="V565" s="296">
        <v>2019</v>
      </c>
    </row>
    <row r="566" spans="1:22" ht="45">
      <c r="A566" s="70">
        <v>129</v>
      </c>
      <c r="B566" s="107" t="s">
        <v>1495</v>
      </c>
      <c r="C566" s="24">
        <v>1984</v>
      </c>
      <c r="D566" s="24"/>
      <c r="E566" s="24" t="s">
        <v>374</v>
      </c>
      <c r="F566" s="24">
        <v>2</v>
      </c>
      <c r="G566" s="24">
        <v>2</v>
      </c>
      <c r="H566" s="24">
        <v>612.6</v>
      </c>
      <c r="I566" s="24">
        <v>563.22</v>
      </c>
      <c r="J566" s="24">
        <v>513.84</v>
      </c>
      <c r="K566" s="36">
        <v>43</v>
      </c>
      <c r="L566" s="24" t="s">
        <v>489</v>
      </c>
      <c r="M566" s="37">
        <v>1974031.91</v>
      </c>
      <c r="N566" s="137"/>
      <c r="O566" s="137"/>
      <c r="P566" s="137"/>
      <c r="Q566" s="37">
        <v>1974031.91</v>
      </c>
      <c r="R566" s="37">
        <f t="shared" si="45"/>
        <v>3504.9037853769396</v>
      </c>
      <c r="S566" s="131">
        <v>14736.15</v>
      </c>
      <c r="T566" s="24" t="s">
        <v>1359</v>
      </c>
      <c r="U566" s="118">
        <v>6.3</v>
      </c>
      <c r="V566" s="296">
        <v>2019</v>
      </c>
    </row>
    <row r="567" spans="1:22" ht="45">
      <c r="A567" s="70">
        <v>130</v>
      </c>
      <c r="B567" s="107" t="s">
        <v>1496</v>
      </c>
      <c r="C567" s="24">
        <v>1978</v>
      </c>
      <c r="D567" s="24"/>
      <c r="E567" s="24" t="s">
        <v>374</v>
      </c>
      <c r="F567" s="24">
        <v>2</v>
      </c>
      <c r="G567" s="24">
        <v>2</v>
      </c>
      <c r="H567" s="24">
        <v>774.71</v>
      </c>
      <c r="I567" s="24">
        <v>712.55</v>
      </c>
      <c r="J567" s="24">
        <v>650.39</v>
      </c>
      <c r="K567" s="36">
        <v>52</v>
      </c>
      <c r="L567" s="24" t="s">
        <v>489</v>
      </c>
      <c r="M567" s="37">
        <v>2530287.69</v>
      </c>
      <c r="N567" s="137"/>
      <c r="O567" s="137"/>
      <c r="P567" s="137"/>
      <c r="Q567" s="37">
        <v>2530287.69</v>
      </c>
      <c r="R567" s="37">
        <f t="shared" si="45"/>
        <v>3551.031773208898</v>
      </c>
      <c r="S567" s="131">
        <v>14736.15</v>
      </c>
      <c r="T567" s="24" t="s">
        <v>1359</v>
      </c>
      <c r="U567" s="118">
        <v>6.3</v>
      </c>
      <c r="V567" s="296">
        <v>2019</v>
      </c>
    </row>
    <row r="568" spans="1:22" ht="45">
      <c r="A568" s="70">
        <v>131</v>
      </c>
      <c r="B568" s="107" t="s">
        <v>1497</v>
      </c>
      <c r="C568" s="24">
        <v>1979</v>
      </c>
      <c r="D568" s="24"/>
      <c r="E568" s="24" t="s">
        <v>494</v>
      </c>
      <c r="F568" s="24">
        <v>5</v>
      </c>
      <c r="G568" s="24">
        <v>6</v>
      </c>
      <c r="H568" s="24">
        <v>4985.97</v>
      </c>
      <c r="I568" s="24">
        <v>4575.33</v>
      </c>
      <c r="J568" s="24">
        <v>4164.69</v>
      </c>
      <c r="K568" s="36">
        <v>313</v>
      </c>
      <c r="L568" s="24" t="s">
        <v>489</v>
      </c>
      <c r="M568" s="37">
        <v>2806655.41</v>
      </c>
      <c r="N568" s="137"/>
      <c r="O568" s="137"/>
      <c r="P568" s="137"/>
      <c r="Q568" s="37">
        <v>2806655.41</v>
      </c>
      <c r="R568" s="37">
        <f t="shared" si="45"/>
        <v>613.4323447707598</v>
      </c>
      <c r="S568" s="131">
        <v>14736.15</v>
      </c>
      <c r="T568" s="24" t="s">
        <v>1359</v>
      </c>
      <c r="U568" s="118">
        <v>6.3</v>
      </c>
      <c r="V568" s="296">
        <v>2019</v>
      </c>
    </row>
    <row r="569" spans="1:22" ht="45">
      <c r="A569" s="70">
        <v>132</v>
      </c>
      <c r="B569" s="107" t="s">
        <v>1498</v>
      </c>
      <c r="C569" s="24">
        <v>1991</v>
      </c>
      <c r="D569" s="24"/>
      <c r="E569" s="24" t="s">
        <v>374</v>
      </c>
      <c r="F569" s="24">
        <v>5</v>
      </c>
      <c r="G569" s="24">
        <v>10</v>
      </c>
      <c r="H569" s="24">
        <v>7753.52</v>
      </c>
      <c r="I569" s="24">
        <v>6982.01</v>
      </c>
      <c r="J569" s="24">
        <v>6210.5</v>
      </c>
      <c r="K569" s="36">
        <v>413</v>
      </c>
      <c r="L569" s="24" t="s">
        <v>489</v>
      </c>
      <c r="M569" s="37">
        <v>5360639.61</v>
      </c>
      <c r="N569" s="137"/>
      <c r="O569" s="137"/>
      <c r="P569" s="137"/>
      <c r="Q569" s="37">
        <v>5360639.61</v>
      </c>
      <c r="R569" s="37">
        <f t="shared" si="45"/>
        <v>767.778850216485</v>
      </c>
      <c r="S569" s="131">
        <v>14736.15</v>
      </c>
      <c r="T569" s="24" t="s">
        <v>1359</v>
      </c>
      <c r="U569" s="118">
        <v>6.3</v>
      </c>
      <c r="V569" s="296">
        <v>2019</v>
      </c>
    </row>
    <row r="570" spans="1:22" ht="45">
      <c r="A570" s="70">
        <v>133</v>
      </c>
      <c r="B570" s="107" t="s">
        <v>1499</v>
      </c>
      <c r="C570" s="24">
        <v>2003</v>
      </c>
      <c r="D570" s="24"/>
      <c r="E570" s="24" t="s">
        <v>126</v>
      </c>
      <c r="F570" s="24">
        <v>2</v>
      </c>
      <c r="G570" s="24">
        <v>3</v>
      </c>
      <c r="H570" s="29">
        <v>1499.7</v>
      </c>
      <c r="I570" s="29">
        <v>1305.9</v>
      </c>
      <c r="J570" s="29">
        <v>1112.1</v>
      </c>
      <c r="K570" s="36">
        <v>70</v>
      </c>
      <c r="L570" s="24" t="s">
        <v>489</v>
      </c>
      <c r="M570" s="37">
        <v>1956680</v>
      </c>
      <c r="N570" s="137"/>
      <c r="O570" s="137"/>
      <c r="P570" s="137"/>
      <c r="Q570" s="37">
        <v>1956680</v>
      </c>
      <c r="R570" s="37">
        <f t="shared" si="45"/>
        <v>1498.3383107435484</v>
      </c>
      <c r="S570" s="131">
        <v>14736.15</v>
      </c>
      <c r="T570" s="24" t="s">
        <v>1359</v>
      </c>
      <c r="U570" s="118">
        <v>6.3</v>
      </c>
      <c r="V570" s="296">
        <v>2019</v>
      </c>
    </row>
    <row r="571" spans="1:22" ht="45">
      <c r="A571" s="70">
        <v>134</v>
      </c>
      <c r="B571" s="107" t="s">
        <v>1500</v>
      </c>
      <c r="C571" s="24">
        <v>1978</v>
      </c>
      <c r="D571" s="24"/>
      <c r="E571" s="24" t="s">
        <v>126</v>
      </c>
      <c r="F571" s="24">
        <v>5</v>
      </c>
      <c r="G571" s="24">
        <v>6</v>
      </c>
      <c r="H571" s="24">
        <v>5367.44</v>
      </c>
      <c r="I571" s="24">
        <v>4952.33</v>
      </c>
      <c r="J571" s="24">
        <v>4537.22</v>
      </c>
      <c r="K571" s="36">
        <v>329</v>
      </c>
      <c r="L571" s="24" t="s">
        <v>489</v>
      </c>
      <c r="M571" s="37">
        <v>2693536.99</v>
      </c>
      <c r="N571" s="137"/>
      <c r="O571" s="137"/>
      <c r="P571" s="137"/>
      <c r="Q571" s="37">
        <v>2693536.99</v>
      </c>
      <c r="R571" s="37">
        <f t="shared" si="45"/>
        <v>543.8928726478244</v>
      </c>
      <c r="S571" s="131">
        <v>14736.15</v>
      </c>
      <c r="T571" s="24" t="s">
        <v>1359</v>
      </c>
      <c r="U571" s="118">
        <v>6.3</v>
      </c>
      <c r="V571" s="296">
        <v>2019</v>
      </c>
    </row>
    <row r="572" spans="1:22" ht="45">
      <c r="A572" s="70">
        <v>135</v>
      </c>
      <c r="B572" s="107" t="s">
        <v>1501</v>
      </c>
      <c r="C572" s="24">
        <v>1987</v>
      </c>
      <c r="D572" s="24"/>
      <c r="E572" s="24" t="s">
        <v>494</v>
      </c>
      <c r="F572" s="24">
        <v>9</v>
      </c>
      <c r="G572" s="24">
        <v>2</v>
      </c>
      <c r="H572" s="24">
        <v>4283.24</v>
      </c>
      <c r="I572" s="24">
        <v>3834.64</v>
      </c>
      <c r="J572" s="24">
        <v>3386.04</v>
      </c>
      <c r="K572" s="36">
        <v>313</v>
      </c>
      <c r="L572" s="24" t="s">
        <v>489</v>
      </c>
      <c r="M572" s="37">
        <v>1174147.53</v>
      </c>
      <c r="N572" s="137"/>
      <c r="O572" s="137"/>
      <c r="P572" s="137"/>
      <c r="Q572" s="37">
        <v>1174147.53</v>
      </c>
      <c r="R572" s="37">
        <f t="shared" si="45"/>
        <v>306.1949831014124</v>
      </c>
      <c r="S572" s="131">
        <v>14736.15</v>
      </c>
      <c r="T572" s="24" t="s">
        <v>1359</v>
      </c>
      <c r="U572" s="118">
        <v>6.3</v>
      </c>
      <c r="V572" s="296">
        <v>2019</v>
      </c>
    </row>
    <row r="573" spans="1:22" ht="45">
      <c r="A573" s="70">
        <v>136</v>
      </c>
      <c r="B573" s="107" t="s">
        <v>1502</v>
      </c>
      <c r="C573" s="24">
        <v>1993</v>
      </c>
      <c r="D573" s="24"/>
      <c r="E573" s="24" t="s">
        <v>374</v>
      </c>
      <c r="F573" s="24">
        <v>5</v>
      </c>
      <c r="G573" s="24">
        <v>13</v>
      </c>
      <c r="H573" s="24">
        <v>9194.27</v>
      </c>
      <c r="I573" s="24">
        <v>8263.47</v>
      </c>
      <c r="J573" s="24">
        <v>7332.67</v>
      </c>
      <c r="K573" s="36">
        <v>427</v>
      </c>
      <c r="L573" s="24" t="s">
        <v>489</v>
      </c>
      <c r="M573" s="37">
        <v>6199587.48</v>
      </c>
      <c r="N573" s="137"/>
      <c r="O573" s="137"/>
      <c r="P573" s="137"/>
      <c r="Q573" s="37">
        <v>6199587.48</v>
      </c>
      <c r="R573" s="37">
        <f t="shared" si="45"/>
        <v>750.2402114366</v>
      </c>
      <c r="S573" s="131">
        <v>14736.15</v>
      </c>
      <c r="T573" s="24" t="s">
        <v>1359</v>
      </c>
      <c r="U573" s="118">
        <v>6.3</v>
      </c>
      <c r="V573" s="296">
        <v>2019</v>
      </c>
    </row>
    <row r="574" spans="1:22" ht="105">
      <c r="A574" s="70">
        <v>137</v>
      </c>
      <c r="B574" s="107" t="s">
        <v>465</v>
      </c>
      <c r="C574" s="24">
        <v>1957</v>
      </c>
      <c r="D574" s="24"/>
      <c r="E574" s="24" t="s">
        <v>374</v>
      </c>
      <c r="F574" s="24">
        <v>3</v>
      </c>
      <c r="G574" s="24">
        <v>3</v>
      </c>
      <c r="H574" s="24">
        <v>1178.94</v>
      </c>
      <c r="I574" s="24">
        <v>1075.12</v>
      </c>
      <c r="J574" s="24">
        <v>971.3</v>
      </c>
      <c r="K574" s="36">
        <v>66</v>
      </c>
      <c r="L574" s="24" t="s">
        <v>1146</v>
      </c>
      <c r="M574" s="37">
        <v>1505267.83</v>
      </c>
      <c r="N574" s="137"/>
      <c r="O574" s="137"/>
      <c r="P574" s="137"/>
      <c r="Q574" s="37">
        <v>1505267.83</v>
      </c>
      <c r="R574" s="37">
        <f t="shared" si="45"/>
        <v>1400.0928547510978</v>
      </c>
      <c r="S574" s="131">
        <v>14736.15</v>
      </c>
      <c r="T574" s="24" t="s">
        <v>1359</v>
      </c>
      <c r="U574" s="118">
        <v>6.3</v>
      </c>
      <c r="V574" s="296">
        <v>2019</v>
      </c>
    </row>
    <row r="575" spans="1:22" ht="15">
      <c r="A575" s="129"/>
      <c r="B575" s="130" t="s">
        <v>136</v>
      </c>
      <c r="C575" s="131"/>
      <c r="D575" s="131"/>
      <c r="E575" s="131"/>
      <c r="F575" s="131"/>
      <c r="G575" s="131"/>
      <c r="H575" s="81">
        <f>SUM(H535:H574)</f>
        <v>76815.49000000002</v>
      </c>
      <c r="I575" s="81">
        <f aca="true" t="shared" si="46" ref="I575:Q575">SUM(I535:I574)</f>
        <v>71689.94</v>
      </c>
      <c r="J575" s="81">
        <f t="shared" si="46"/>
        <v>64678.04000000001</v>
      </c>
      <c r="K575" s="98">
        <f t="shared" si="46"/>
        <v>4055</v>
      </c>
      <c r="L575" s="81"/>
      <c r="M575" s="81">
        <f t="shared" si="46"/>
        <v>77142571.60999998</v>
      </c>
      <c r="N575" s="81"/>
      <c r="O575" s="81"/>
      <c r="P575" s="81"/>
      <c r="Q575" s="81">
        <f t="shared" si="46"/>
        <v>77142571.60999998</v>
      </c>
      <c r="R575" s="81">
        <f t="shared" si="45"/>
        <v>1076.05853220131</v>
      </c>
      <c r="S575" s="134"/>
      <c r="T575" s="136"/>
      <c r="U575" s="142"/>
      <c r="V575" s="296"/>
    </row>
    <row r="576" spans="1:22" ht="21.75" customHeight="1">
      <c r="A576" s="300" t="s">
        <v>1371</v>
      </c>
      <c r="B576" s="301"/>
      <c r="C576" s="301"/>
      <c r="D576" s="301"/>
      <c r="E576" s="301"/>
      <c r="F576" s="301"/>
      <c r="G576" s="301"/>
      <c r="H576" s="301"/>
      <c r="I576" s="301"/>
      <c r="J576" s="301"/>
      <c r="K576" s="301"/>
      <c r="L576" s="301"/>
      <c r="M576" s="301"/>
      <c r="N576" s="301"/>
      <c r="O576" s="301"/>
      <c r="P576" s="301"/>
      <c r="Q576" s="302"/>
      <c r="R576" s="301"/>
      <c r="S576" s="301"/>
      <c r="T576" s="301"/>
      <c r="U576" s="303"/>
      <c r="V576" s="296"/>
    </row>
    <row r="577" spans="1:22" ht="248.25" customHeight="1">
      <c r="A577" s="70">
        <v>138</v>
      </c>
      <c r="B577" s="117" t="s">
        <v>751</v>
      </c>
      <c r="C577" s="35">
        <v>1967</v>
      </c>
      <c r="D577" s="29"/>
      <c r="E577" s="35" t="s">
        <v>374</v>
      </c>
      <c r="F577" s="35">
        <v>9</v>
      </c>
      <c r="G577" s="35">
        <v>1</v>
      </c>
      <c r="H577" s="37">
        <v>2251.5</v>
      </c>
      <c r="I577" s="37">
        <v>2251.5</v>
      </c>
      <c r="J577" s="37">
        <v>1471.5</v>
      </c>
      <c r="K577" s="36">
        <v>108</v>
      </c>
      <c r="L577" s="24" t="s">
        <v>1343</v>
      </c>
      <c r="M577" s="37">
        <v>4926085.84</v>
      </c>
      <c r="N577" s="37"/>
      <c r="O577" s="37"/>
      <c r="P577" s="37"/>
      <c r="Q577" s="37">
        <v>4926085.84</v>
      </c>
      <c r="R577" s="29">
        <f>M577/I577</f>
        <v>2187.9128758605375</v>
      </c>
      <c r="S577" s="131">
        <v>14736.15</v>
      </c>
      <c r="T577" s="24" t="s">
        <v>1359</v>
      </c>
      <c r="U577" s="118">
        <v>6.3</v>
      </c>
      <c r="V577" s="296">
        <v>2019</v>
      </c>
    </row>
    <row r="578" spans="1:22" ht="245.25" customHeight="1">
      <c r="A578" s="70">
        <v>139</v>
      </c>
      <c r="B578" s="117" t="s">
        <v>752</v>
      </c>
      <c r="C578" s="35">
        <v>1965</v>
      </c>
      <c r="D578" s="29"/>
      <c r="E578" s="35" t="s">
        <v>374</v>
      </c>
      <c r="F578" s="35">
        <v>5</v>
      </c>
      <c r="G578" s="35">
        <v>4</v>
      </c>
      <c r="H578" s="37">
        <v>3112.1</v>
      </c>
      <c r="I578" s="37">
        <v>3112.1</v>
      </c>
      <c r="J578" s="37">
        <v>2967.4</v>
      </c>
      <c r="K578" s="36">
        <v>185</v>
      </c>
      <c r="L578" s="24" t="s">
        <v>1344</v>
      </c>
      <c r="M578" s="37">
        <v>5624536.78</v>
      </c>
      <c r="N578" s="37"/>
      <c r="O578" s="37"/>
      <c r="P578" s="37"/>
      <c r="Q578" s="37">
        <v>5624536.78</v>
      </c>
      <c r="R578" s="29">
        <f aca="true" t="shared" si="47" ref="R578:R608">M578/I578</f>
        <v>1807.3123550014461</v>
      </c>
      <c r="S578" s="131">
        <v>14736.15</v>
      </c>
      <c r="T578" s="24" t="s">
        <v>1359</v>
      </c>
      <c r="U578" s="83">
        <v>6.3</v>
      </c>
      <c r="V578" s="296">
        <v>2019</v>
      </c>
    </row>
    <row r="579" spans="1:22" ht="240">
      <c r="A579" s="70">
        <v>140</v>
      </c>
      <c r="B579" s="117" t="s">
        <v>753</v>
      </c>
      <c r="C579" s="35">
        <v>1969</v>
      </c>
      <c r="D579" s="29"/>
      <c r="E579" s="35" t="s">
        <v>374</v>
      </c>
      <c r="F579" s="35">
        <v>5</v>
      </c>
      <c r="G579" s="35">
        <v>4</v>
      </c>
      <c r="H579" s="37">
        <v>3445.8</v>
      </c>
      <c r="I579" s="37">
        <v>3445.8</v>
      </c>
      <c r="J579" s="37">
        <v>1846.6</v>
      </c>
      <c r="K579" s="36">
        <v>149</v>
      </c>
      <c r="L579" s="24" t="s">
        <v>1345</v>
      </c>
      <c r="M579" s="37">
        <v>6700950.25</v>
      </c>
      <c r="N579" s="37"/>
      <c r="O579" s="37"/>
      <c r="P579" s="37"/>
      <c r="Q579" s="37">
        <v>6700950.25</v>
      </c>
      <c r="R579" s="29">
        <f t="shared" si="47"/>
        <v>1944.671846886064</v>
      </c>
      <c r="S579" s="131">
        <v>14736.15</v>
      </c>
      <c r="T579" s="24" t="s">
        <v>1359</v>
      </c>
      <c r="U579" s="83">
        <v>6.3</v>
      </c>
      <c r="V579" s="296">
        <v>2019</v>
      </c>
    </row>
    <row r="580" spans="1:22" ht="255">
      <c r="A580" s="70">
        <v>141</v>
      </c>
      <c r="B580" s="117" t="s">
        <v>754</v>
      </c>
      <c r="C580" s="35">
        <v>1970</v>
      </c>
      <c r="D580" s="29"/>
      <c r="E580" s="35" t="s">
        <v>374</v>
      </c>
      <c r="F580" s="35">
        <v>5</v>
      </c>
      <c r="G580" s="35">
        <v>3</v>
      </c>
      <c r="H580" s="37">
        <v>3427.9</v>
      </c>
      <c r="I580" s="37">
        <v>3427.9</v>
      </c>
      <c r="J580" s="37">
        <v>1839.3</v>
      </c>
      <c r="K580" s="36">
        <v>244</v>
      </c>
      <c r="L580" s="24" t="s">
        <v>315</v>
      </c>
      <c r="M580" s="37">
        <v>6689346.34</v>
      </c>
      <c r="N580" s="37"/>
      <c r="O580" s="37"/>
      <c r="P580" s="37"/>
      <c r="Q580" s="37">
        <v>6689346.34</v>
      </c>
      <c r="R580" s="29">
        <f t="shared" si="47"/>
        <v>1951.441506461682</v>
      </c>
      <c r="S580" s="131">
        <v>14736.15</v>
      </c>
      <c r="T580" s="24" t="s">
        <v>1359</v>
      </c>
      <c r="U580" s="83">
        <v>6.3</v>
      </c>
      <c r="V580" s="296">
        <v>2019</v>
      </c>
    </row>
    <row r="581" spans="1:22" ht="150">
      <c r="A581" s="70">
        <v>142</v>
      </c>
      <c r="B581" s="169" t="s">
        <v>755</v>
      </c>
      <c r="C581" s="35">
        <v>1966</v>
      </c>
      <c r="D581" s="29"/>
      <c r="E581" s="35" t="s">
        <v>374</v>
      </c>
      <c r="F581" s="35">
        <v>5</v>
      </c>
      <c r="G581" s="35">
        <v>6</v>
      </c>
      <c r="H581" s="37">
        <v>5859</v>
      </c>
      <c r="I581" s="37">
        <v>5859</v>
      </c>
      <c r="J581" s="37">
        <v>3371.7</v>
      </c>
      <c r="K581" s="36">
        <v>226</v>
      </c>
      <c r="L581" s="24" t="s">
        <v>1503</v>
      </c>
      <c r="M581" s="37">
        <v>12674722.2</v>
      </c>
      <c r="N581" s="37"/>
      <c r="O581" s="37"/>
      <c r="P581" s="37"/>
      <c r="Q581" s="37">
        <v>12674722.2</v>
      </c>
      <c r="R581" s="29">
        <f t="shared" si="47"/>
        <v>2163.291039426523</v>
      </c>
      <c r="S581" s="131">
        <v>14736.15</v>
      </c>
      <c r="T581" s="24" t="s">
        <v>1359</v>
      </c>
      <c r="U581" s="83">
        <v>6.3</v>
      </c>
      <c r="V581" s="296">
        <v>2019</v>
      </c>
    </row>
    <row r="582" spans="1:22" ht="165">
      <c r="A582" s="70">
        <v>143</v>
      </c>
      <c r="B582" s="117" t="s">
        <v>756</v>
      </c>
      <c r="C582" s="35">
        <v>1970</v>
      </c>
      <c r="D582" s="29"/>
      <c r="E582" s="35" t="s">
        <v>494</v>
      </c>
      <c r="F582" s="35">
        <v>5</v>
      </c>
      <c r="G582" s="35">
        <v>4</v>
      </c>
      <c r="H582" s="37">
        <v>3604.6</v>
      </c>
      <c r="I582" s="37">
        <v>3604.6</v>
      </c>
      <c r="J582" s="37">
        <v>2512.8</v>
      </c>
      <c r="K582" s="36">
        <v>222</v>
      </c>
      <c r="L582" s="24" t="s">
        <v>1504</v>
      </c>
      <c r="M582" s="37">
        <v>5983172.15</v>
      </c>
      <c r="N582" s="37"/>
      <c r="O582" s="37"/>
      <c r="P582" s="37"/>
      <c r="Q582" s="37">
        <v>5983172.15</v>
      </c>
      <c r="R582" s="29">
        <f t="shared" si="47"/>
        <v>1659.8713172057928</v>
      </c>
      <c r="S582" s="131">
        <v>14736.15</v>
      </c>
      <c r="T582" s="24" t="s">
        <v>1359</v>
      </c>
      <c r="U582" s="83">
        <v>6.3</v>
      </c>
      <c r="V582" s="296">
        <v>2019</v>
      </c>
    </row>
    <row r="583" spans="1:22" ht="208.5" customHeight="1">
      <c r="A583" s="70">
        <v>144</v>
      </c>
      <c r="B583" s="169" t="s">
        <v>757</v>
      </c>
      <c r="C583" s="35">
        <v>1964</v>
      </c>
      <c r="D583" s="29"/>
      <c r="E583" s="35" t="s">
        <v>374</v>
      </c>
      <c r="F583" s="35">
        <v>5</v>
      </c>
      <c r="G583" s="35">
        <v>6</v>
      </c>
      <c r="H583" s="37">
        <v>4702.2</v>
      </c>
      <c r="I583" s="37">
        <v>4702.2</v>
      </c>
      <c r="J583" s="37">
        <v>4355.4</v>
      </c>
      <c r="K583" s="36">
        <v>256</v>
      </c>
      <c r="L583" s="24" t="s">
        <v>316</v>
      </c>
      <c r="M583" s="37">
        <v>6465909.58</v>
      </c>
      <c r="N583" s="37"/>
      <c r="O583" s="37"/>
      <c r="P583" s="37"/>
      <c r="Q583" s="37">
        <v>6465909.58</v>
      </c>
      <c r="R583" s="29">
        <f t="shared" si="47"/>
        <v>1375.081787248522</v>
      </c>
      <c r="S583" s="131">
        <v>14736.15</v>
      </c>
      <c r="T583" s="24" t="s">
        <v>1359</v>
      </c>
      <c r="U583" s="83">
        <v>6.3</v>
      </c>
      <c r="V583" s="296">
        <v>2019</v>
      </c>
    </row>
    <row r="584" spans="1:22" ht="141.75" customHeight="1">
      <c r="A584" s="70">
        <v>145</v>
      </c>
      <c r="B584" s="117" t="s">
        <v>758</v>
      </c>
      <c r="C584" s="35">
        <v>1962</v>
      </c>
      <c r="D584" s="29"/>
      <c r="E584" s="35" t="s">
        <v>374</v>
      </c>
      <c r="F584" s="35">
        <v>4</v>
      </c>
      <c r="G584" s="35">
        <v>3</v>
      </c>
      <c r="H584" s="37">
        <v>2424.23</v>
      </c>
      <c r="I584" s="37">
        <v>2424.23</v>
      </c>
      <c r="J584" s="37">
        <v>1920.9</v>
      </c>
      <c r="K584" s="36">
        <v>217</v>
      </c>
      <c r="L584" s="24" t="s">
        <v>1505</v>
      </c>
      <c r="M584" s="37">
        <v>5025534.99</v>
      </c>
      <c r="N584" s="37"/>
      <c r="O584" s="37"/>
      <c r="P584" s="37"/>
      <c r="Q584" s="37">
        <v>5025534.99</v>
      </c>
      <c r="R584" s="29">
        <f t="shared" si="47"/>
        <v>2073.043807724515</v>
      </c>
      <c r="S584" s="131">
        <v>14736.15</v>
      </c>
      <c r="T584" s="24" t="s">
        <v>1359</v>
      </c>
      <c r="U584" s="83">
        <v>6.3</v>
      </c>
      <c r="V584" s="296">
        <v>2019</v>
      </c>
    </row>
    <row r="585" spans="1:22" ht="133.5" customHeight="1">
      <c r="A585" s="70">
        <v>146</v>
      </c>
      <c r="B585" s="117" t="s">
        <v>759</v>
      </c>
      <c r="C585" s="35">
        <v>1969</v>
      </c>
      <c r="D585" s="29"/>
      <c r="E585" s="35" t="s">
        <v>374</v>
      </c>
      <c r="F585" s="35">
        <v>5</v>
      </c>
      <c r="G585" s="35">
        <v>2</v>
      </c>
      <c r="H585" s="37">
        <v>3718.71</v>
      </c>
      <c r="I585" s="37">
        <v>3718.71</v>
      </c>
      <c r="J585" s="37">
        <v>2595.1</v>
      </c>
      <c r="K585" s="36">
        <v>178</v>
      </c>
      <c r="L585" s="24" t="s">
        <v>1506</v>
      </c>
      <c r="M585" s="37">
        <v>7235053.4</v>
      </c>
      <c r="N585" s="37"/>
      <c r="O585" s="37"/>
      <c r="P585" s="37"/>
      <c r="Q585" s="37">
        <v>7235053.4</v>
      </c>
      <c r="R585" s="29">
        <f t="shared" si="47"/>
        <v>1945.581505414512</v>
      </c>
      <c r="S585" s="131">
        <v>14736.15</v>
      </c>
      <c r="T585" s="24" t="s">
        <v>1359</v>
      </c>
      <c r="U585" s="83">
        <v>6.3</v>
      </c>
      <c r="V585" s="296">
        <v>2019</v>
      </c>
    </row>
    <row r="586" spans="1:22" ht="148.5" customHeight="1">
      <c r="A586" s="70">
        <v>147</v>
      </c>
      <c r="B586" s="117" t="s">
        <v>809</v>
      </c>
      <c r="C586" s="35">
        <v>1970</v>
      </c>
      <c r="D586" s="29"/>
      <c r="E586" s="35" t="s">
        <v>374</v>
      </c>
      <c r="F586" s="35">
        <v>5</v>
      </c>
      <c r="G586" s="35">
        <v>8</v>
      </c>
      <c r="H586" s="37">
        <v>7366.3</v>
      </c>
      <c r="I586" s="37">
        <v>7366.3</v>
      </c>
      <c r="J586" s="37">
        <v>4642.9</v>
      </c>
      <c r="K586" s="36">
        <v>371</v>
      </c>
      <c r="L586" s="24" t="s">
        <v>1507</v>
      </c>
      <c r="M586" s="37">
        <v>14792985.51</v>
      </c>
      <c r="N586" s="37"/>
      <c r="O586" s="37"/>
      <c r="P586" s="37"/>
      <c r="Q586" s="37">
        <v>14792985.51</v>
      </c>
      <c r="R586" s="29">
        <f t="shared" si="47"/>
        <v>2008.1975360764561</v>
      </c>
      <c r="S586" s="131">
        <v>14736.15</v>
      </c>
      <c r="T586" s="24" t="s">
        <v>1359</v>
      </c>
      <c r="U586" s="83">
        <v>6.3</v>
      </c>
      <c r="V586" s="296">
        <v>2019</v>
      </c>
    </row>
    <row r="587" spans="1:22" ht="257.25" customHeight="1">
      <c r="A587" s="70">
        <v>148</v>
      </c>
      <c r="B587" s="169" t="s">
        <v>810</v>
      </c>
      <c r="C587" s="35">
        <v>1964</v>
      </c>
      <c r="D587" s="29"/>
      <c r="E587" s="35" t="s">
        <v>374</v>
      </c>
      <c r="F587" s="35">
        <v>5</v>
      </c>
      <c r="G587" s="35">
        <v>3</v>
      </c>
      <c r="H587" s="37">
        <v>3242.7</v>
      </c>
      <c r="I587" s="37">
        <v>3242.7</v>
      </c>
      <c r="J587" s="37">
        <v>2972.3</v>
      </c>
      <c r="K587" s="36">
        <v>199</v>
      </c>
      <c r="L587" s="24" t="s">
        <v>317</v>
      </c>
      <c r="M587" s="37">
        <v>7045182.06</v>
      </c>
      <c r="N587" s="37"/>
      <c r="O587" s="37"/>
      <c r="P587" s="37"/>
      <c r="Q587" s="37">
        <v>7045182.06</v>
      </c>
      <c r="R587" s="29">
        <f t="shared" si="47"/>
        <v>2172.6283837542787</v>
      </c>
      <c r="S587" s="131">
        <v>14736.15</v>
      </c>
      <c r="T587" s="24" t="s">
        <v>1359</v>
      </c>
      <c r="U587" s="83">
        <v>6.3</v>
      </c>
      <c r="V587" s="296">
        <v>2019</v>
      </c>
    </row>
    <row r="588" spans="1:22" ht="255.75" customHeight="1">
      <c r="A588" s="70">
        <v>149</v>
      </c>
      <c r="B588" s="117" t="s">
        <v>811</v>
      </c>
      <c r="C588" s="35">
        <v>1964</v>
      </c>
      <c r="D588" s="29"/>
      <c r="E588" s="35" t="s">
        <v>374</v>
      </c>
      <c r="F588" s="35">
        <v>5</v>
      </c>
      <c r="G588" s="35">
        <v>3</v>
      </c>
      <c r="H588" s="37">
        <v>3233.2</v>
      </c>
      <c r="I588" s="37">
        <v>3238.9</v>
      </c>
      <c r="J588" s="37">
        <v>2792.8</v>
      </c>
      <c r="K588" s="36">
        <v>210</v>
      </c>
      <c r="L588" s="24" t="s">
        <v>318</v>
      </c>
      <c r="M588" s="37">
        <v>7789960.02</v>
      </c>
      <c r="N588" s="37"/>
      <c r="O588" s="37"/>
      <c r="P588" s="37"/>
      <c r="Q588" s="37">
        <v>7789960.02</v>
      </c>
      <c r="R588" s="29">
        <f t="shared" si="47"/>
        <v>2405.1252030010187</v>
      </c>
      <c r="S588" s="131">
        <v>14736.15</v>
      </c>
      <c r="T588" s="24" t="s">
        <v>1359</v>
      </c>
      <c r="U588" s="83">
        <v>6.3</v>
      </c>
      <c r="V588" s="296">
        <v>2019</v>
      </c>
    </row>
    <row r="589" spans="1:22" ht="163.5" customHeight="1">
      <c r="A589" s="70">
        <v>150</v>
      </c>
      <c r="B589" s="117" t="s">
        <v>812</v>
      </c>
      <c r="C589" s="35">
        <v>1966</v>
      </c>
      <c r="D589" s="29"/>
      <c r="E589" s="35" t="s">
        <v>374</v>
      </c>
      <c r="F589" s="35">
        <v>5</v>
      </c>
      <c r="G589" s="35">
        <v>4</v>
      </c>
      <c r="H589" s="37">
        <v>3099.13</v>
      </c>
      <c r="I589" s="37">
        <v>3099.13</v>
      </c>
      <c r="J589" s="37">
        <v>2016.6</v>
      </c>
      <c r="K589" s="36">
        <v>175</v>
      </c>
      <c r="L589" s="24" t="s">
        <v>1508</v>
      </c>
      <c r="M589" s="37">
        <v>5105303.59</v>
      </c>
      <c r="N589" s="37"/>
      <c r="O589" s="37"/>
      <c r="P589" s="37"/>
      <c r="Q589" s="37">
        <v>5105303.59</v>
      </c>
      <c r="R589" s="29">
        <f t="shared" si="47"/>
        <v>1647.3344422466948</v>
      </c>
      <c r="S589" s="131">
        <v>14736.15</v>
      </c>
      <c r="T589" s="24" t="s">
        <v>1359</v>
      </c>
      <c r="U589" s="83">
        <v>6.3</v>
      </c>
      <c r="V589" s="296">
        <v>2019</v>
      </c>
    </row>
    <row r="590" spans="1:22" ht="37.5" customHeight="1">
      <c r="A590" s="70">
        <v>151</v>
      </c>
      <c r="B590" s="34" t="s">
        <v>1509</v>
      </c>
      <c r="C590" s="35">
        <v>1974</v>
      </c>
      <c r="D590" s="36"/>
      <c r="E590" s="37" t="s">
        <v>494</v>
      </c>
      <c r="F590" s="36">
        <v>5</v>
      </c>
      <c r="G590" s="36">
        <v>4</v>
      </c>
      <c r="H590" s="37">
        <v>2047.4</v>
      </c>
      <c r="I590" s="37">
        <v>2047.4</v>
      </c>
      <c r="J590" s="37">
        <v>2047.4</v>
      </c>
      <c r="K590" s="36">
        <v>106</v>
      </c>
      <c r="L590" s="24" t="s">
        <v>129</v>
      </c>
      <c r="M590" s="163">
        <v>1875651.53</v>
      </c>
      <c r="N590" s="28"/>
      <c r="O590" s="28"/>
      <c r="P590" s="28"/>
      <c r="Q590" s="17">
        <v>1875651.53</v>
      </c>
      <c r="R590" s="29">
        <f t="shared" si="47"/>
        <v>916.1138663670997</v>
      </c>
      <c r="S590" s="131">
        <v>14736.15</v>
      </c>
      <c r="T590" s="24" t="s">
        <v>1359</v>
      </c>
      <c r="U590" s="83">
        <v>6.3</v>
      </c>
      <c r="V590" s="296">
        <v>2019</v>
      </c>
    </row>
    <row r="591" spans="1:22" ht="39.75" customHeight="1">
      <c r="A591" s="70">
        <v>152</v>
      </c>
      <c r="B591" s="34" t="s">
        <v>982</v>
      </c>
      <c r="C591" s="35">
        <v>1970</v>
      </c>
      <c r="D591" s="37"/>
      <c r="E591" s="37" t="s">
        <v>494</v>
      </c>
      <c r="F591" s="36">
        <v>5</v>
      </c>
      <c r="G591" s="36">
        <v>7</v>
      </c>
      <c r="H591" s="37">
        <v>6105.2</v>
      </c>
      <c r="I591" s="37">
        <v>6105.2</v>
      </c>
      <c r="J591" s="37">
        <v>5640</v>
      </c>
      <c r="K591" s="36">
        <v>364</v>
      </c>
      <c r="L591" s="24" t="s">
        <v>129</v>
      </c>
      <c r="M591" s="163">
        <v>2945440.13</v>
      </c>
      <c r="N591" s="28"/>
      <c r="O591" s="28"/>
      <c r="P591" s="28"/>
      <c r="Q591" s="17">
        <v>2945440.13</v>
      </c>
      <c r="R591" s="29">
        <f t="shared" si="47"/>
        <v>482.44777075280086</v>
      </c>
      <c r="S591" s="131">
        <v>14736.15</v>
      </c>
      <c r="T591" s="24" t="s">
        <v>1359</v>
      </c>
      <c r="U591" s="83">
        <v>6.3</v>
      </c>
      <c r="V591" s="296">
        <v>2019</v>
      </c>
    </row>
    <row r="592" spans="1:22" ht="39" customHeight="1">
      <c r="A592" s="70">
        <v>153</v>
      </c>
      <c r="B592" s="34" t="s">
        <v>1510</v>
      </c>
      <c r="C592" s="35">
        <v>1969</v>
      </c>
      <c r="D592" s="37"/>
      <c r="E592" s="37" t="s">
        <v>374</v>
      </c>
      <c r="F592" s="36">
        <v>5</v>
      </c>
      <c r="G592" s="36">
        <v>4</v>
      </c>
      <c r="H592" s="37">
        <v>3347.2</v>
      </c>
      <c r="I592" s="37">
        <v>3347.2</v>
      </c>
      <c r="J592" s="37">
        <v>2925.2</v>
      </c>
      <c r="K592" s="36">
        <v>175</v>
      </c>
      <c r="L592" s="24" t="s">
        <v>129</v>
      </c>
      <c r="M592" s="163">
        <v>3431928.56</v>
      </c>
      <c r="N592" s="28"/>
      <c r="O592" s="28"/>
      <c r="P592" s="28"/>
      <c r="Q592" s="17">
        <v>3431928.56</v>
      </c>
      <c r="R592" s="29">
        <f t="shared" si="47"/>
        <v>1025.3132648183557</v>
      </c>
      <c r="S592" s="131">
        <v>14736.15</v>
      </c>
      <c r="T592" s="24" t="s">
        <v>1359</v>
      </c>
      <c r="U592" s="83">
        <v>6.3</v>
      </c>
      <c r="V592" s="296">
        <v>2019</v>
      </c>
    </row>
    <row r="593" spans="1:22" ht="71.25" customHeight="1">
      <c r="A593" s="70">
        <v>154</v>
      </c>
      <c r="B593" s="34" t="s">
        <v>1511</v>
      </c>
      <c r="C593" s="35">
        <v>1986</v>
      </c>
      <c r="D593" s="37"/>
      <c r="E593" s="37" t="s">
        <v>494</v>
      </c>
      <c r="F593" s="36">
        <v>9</v>
      </c>
      <c r="G593" s="36">
        <v>2</v>
      </c>
      <c r="H593" s="37">
        <v>4957.1</v>
      </c>
      <c r="I593" s="37">
        <v>4957.1</v>
      </c>
      <c r="J593" s="37">
        <v>4461.7</v>
      </c>
      <c r="K593" s="36">
        <v>224</v>
      </c>
      <c r="L593" s="24" t="s">
        <v>68</v>
      </c>
      <c r="M593" s="163">
        <v>7015268.66</v>
      </c>
      <c r="N593" s="28"/>
      <c r="O593" s="28"/>
      <c r="P593" s="28"/>
      <c r="Q593" s="17">
        <v>7015268.66</v>
      </c>
      <c r="R593" s="29">
        <f t="shared" si="47"/>
        <v>1415.1961146638155</v>
      </c>
      <c r="S593" s="131">
        <v>14736.15</v>
      </c>
      <c r="T593" s="24" t="s">
        <v>1359</v>
      </c>
      <c r="U593" s="83">
        <v>6.3</v>
      </c>
      <c r="V593" s="296">
        <v>2019</v>
      </c>
    </row>
    <row r="594" spans="1:22" ht="45">
      <c r="A594" s="70">
        <v>155</v>
      </c>
      <c r="B594" s="34" t="s">
        <v>1512</v>
      </c>
      <c r="C594" s="35">
        <v>1970</v>
      </c>
      <c r="D594" s="37"/>
      <c r="E594" s="37" t="s">
        <v>374</v>
      </c>
      <c r="F594" s="36">
        <v>5</v>
      </c>
      <c r="G594" s="36">
        <v>4</v>
      </c>
      <c r="H594" s="37">
        <v>3258.5</v>
      </c>
      <c r="I594" s="37">
        <v>3258.5</v>
      </c>
      <c r="J594" s="37">
        <v>2854.2</v>
      </c>
      <c r="K594" s="36">
        <v>200</v>
      </c>
      <c r="L594" s="24" t="s">
        <v>129</v>
      </c>
      <c r="M594" s="163">
        <v>3984043.54</v>
      </c>
      <c r="N594" s="28"/>
      <c r="O594" s="28"/>
      <c r="P594" s="28"/>
      <c r="Q594" s="17">
        <v>3984043.54</v>
      </c>
      <c r="R594" s="29">
        <f t="shared" si="47"/>
        <v>1222.661819855762</v>
      </c>
      <c r="S594" s="131">
        <v>14736.15</v>
      </c>
      <c r="T594" s="24" t="s">
        <v>1359</v>
      </c>
      <c r="U594" s="83">
        <v>6.3</v>
      </c>
      <c r="V594" s="296">
        <v>2019</v>
      </c>
    </row>
    <row r="595" spans="1:22" ht="45">
      <c r="A595" s="70">
        <v>156</v>
      </c>
      <c r="B595" s="34" t="s">
        <v>1513</v>
      </c>
      <c r="C595" s="35">
        <v>1963</v>
      </c>
      <c r="D595" s="37"/>
      <c r="E595" s="37" t="s">
        <v>374</v>
      </c>
      <c r="F595" s="36">
        <v>4</v>
      </c>
      <c r="G595" s="36">
        <v>4</v>
      </c>
      <c r="H595" s="37">
        <v>2547</v>
      </c>
      <c r="I595" s="37">
        <v>2547</v>
      </c>
      <c r="J595" s="37">
        <v>2357.9</v>
      </c>
      <c r="K595" s="36">
        <v>151</v>
      </c>
      <c r="L595" s="24" t="s">
        <v>129</v>
      </c>
      <c r="M595" s="163">
        <v>3901958.05</v>
      </c>
      <c r="N595" s="28"/>
      <c r="O595" s="28"/>
      <c r="P595" s="28"/>
      <c r="Q595" s="17">
        <v>3901958.05</v>
      </c>
      <c r="R595" s="29">
        <f t="shared" si="47"/>
        <v>1531.981959167648</v>
      </c>
      <c r="S595" s="131">
        <v>14736.15</v>
      </c>
      <c r="T595" s="24" t="s">
        <v>1359</v>
      </c>
      <c r="U595" s="83">
        <v>6.3</v>
      </c>
      <c r="V595" s="296">
        <v>2019</v>
      </c>
    </row>
    <row r="596" spans="1:22" ht="45">
      <c r="A596" s="70">
        <v>157</v>
      </c>
      <c r="B596" s="34" t="s">
        <v>1514</v>
      </c>
      <c r="C596" s="35">
        <v>1981</v>
      </c>
      <c r="D596" s="37"/>
      <c r="E596" s="37" t="s">
        <v>494</v>
      </c>
      <c r="F596" s="36">
        <v>5</v>
      </c>
      <c r="G596" s="36">
        <v>6</v>
      </c>
      <c r="H596" s="37">
        <v>4519.2</v>
      </c>
      <c r="I596" s="37">
        <v>4519.2</v>
      </c>
      <c r="J596" s="37">
        <v>4101.9</v>
      </c>
      <c r="K596" s="36">
        <v>234</v>
      </c>
      <c r="L596" s="24" t="s">
        <v>129</v>
      </c>
      <c r="M596" s="163">
        <v>2192370</v>
      </c>
      <c r="N596" s="28"/>
      <c r="O596" s="28"/>
      <c r="P596" s="28"/>
      <c r="Q596" s="17">
        <v>2192370</v>
      </c>
      <c r="R596" s="29">
        <f t="shared" si="47"/>
        <v>485.123473181094</v>
      </c>
      <c r="S596" s="131">
        <v>14736.15</v>
      </c>
      <c r="T596" s="24" t="s">
        <v>1359</v>
      </c>
      <c r="U596" s="83">
        <v>6.3</v>
      </c>
      <c r="V596" s="296">
        <v>2019</v>
      </c>
    </row>
    <row r="597" spans="1:22" ht="45">
      <c r="A597" s="70">
        <v>158</v>
      </c>
      <c r="B597" s="34" t="s">
        <v>1515</v>
      </c>
      <c r="C597" s="35">
        <v>1986</v>
      </c>
      <c r="D597" s="37"/>
      <c r="E597" s="37" t="s">
        <v>494</v>
      </c>
      <c r="F597" s="36">
        <v>5</v>
      </c>
      <c r="G597" s="36">
        <v>3</v>
      </c>
      <c r="H597" s="37">
        <v>3244.5</v>
      </c>
      <c r="I597" s="37">
        <v>3244.5</v>
      </c>
      <c r="J597" s="37">
        <v>3031.6</v>
      </c>
      <c r="K597" s="36">
        <v>172</v>
      </c>
      <c r="L597" s="24" t="s">
        <v>129</v>
      </c>
      <c r="M597" s="163">
        <v>1588184.68</v>
      </c>
      <c r="N597" s="28"/>
      <c r="O597" s="28"/>
      <c r="P597" s="28"/>
      <c r="Q597" s="17">
        <v>1588184.68</v>
      </c>
      <c r="R597" s="29">
        <f t="shared" si="47"/>
        <v>489.5005948528278</v>
      </c>
      <c r="S597" s="131">
        <v>14736.15</v>
      </c>
      <c r="T597" s="24" t="s">
        <v>1359</v>
      </c>
      <c r="U597" s="83">
        <v>6.3</v>
      </c>
      <c r="V597" s="296">
        <v>2019</v>
      </c>
    </row>
    <row r="598" spans="1:22" ht="45">
      <c r="A598" s="70">
        <v>159</v>
      </c>
      <c r="B598" s="34" t="s">
        <v>1516</v>
      </c>
      <c r="C598" s="35">
        <v>1978</v>
      </c>
      <c r="D598" s="37"/>
      <c r="E598" s="37" t="s">
        <v>494</v>
      </c>
      <c r="F598" s="36">
        <v>5</v>
      </c>
      <c r="G598" s="36">
        <v>5</v>
      </c>
      <c r="H598" s="37">
        <v>2646.2</v>
      </c>
      <c r="I598" s="29">
        <v>2646.2</v>
      </c>
      <c r="J598" s="29">
        <v>2448.4</v>
      </c>
      <c r="K598" s="36">
        <v>152</v>
      </c>
      <c r="L598" s="24" t="s">
        <v>129</v>
      </c>
      <c r="M598" s="163">
        <v>1427770</v>
      </c>
      <c r="N598" s="28"/>
      <c r="O598" s="28"/>
      <c r="P598" s="28"/>
      <c r="Q598" s="17">
        <v>1427770</v>
      </c>
      <c r="R598" s="29">
        <f t="shared" si="47"/>
        <v>539.5548333459301</v>
      </c>
      <c r="S598" s="131">
        <v>14736.15</v>
      </c>
      <c r="T598" s="24" t="s">
        <v>1359</v>
      </c>
      <c r="U598" s="83">
        <v>6.3</v>
      </c>
      <c r="V598" s="296">
        <v>2019</v>
      </c>
    </row>
    <row r="599" spans="1:22" ht="45">
      <c r="A599" s="70">
        <v>160</v>
      </c>
      <c r="B599" s="34" t="s">
        <v>1517</v>
      </c>
      <c r="C599" s="35">
        <v>1964</v>
      </c>
      <c r="D599" s="37"/>
      <c r="E599" s="37" t="s">
        <v>374</v>
      </c>
      <c r="F599" s="36">
        <v>5</v>
      </c>
      <c r="G599" s="36">
        <v>4</v>
      </c>
      <c r="H599" s="37">
        <v>3103</v>
      </c>
      <c r="I599" s="29">
        <v>3103</v>
      </c>
      <c r="J599" s="29">
        <v>2906</v>
      </c>
      <c r="K599" s="36">
        <v>169</v>
      </c>
      <c r="L599" s="24" t="s">
        <v>384</v>
      </c>
      <c r="M599" s="163">
        <v>1422831.87</v>
      </c>
      <c r="N599" s="28"/>
      <c r="O599" s="28"/>
      <c r="P599" s="28"/>
      <c r="Q599" s="17">
        <v>1422831.87</v>
      </c>
      <c r="R599" s="29">
        <f t="shared" si="47"/>
        <v>458.53427972929427</v>
      </c>
      <c r="S599" s="131">
        <v>14736.15</v>
      </c>
      <c r="T599" s="24" t="s">
        <v>1359</v>
      </c>
      <c r="U599" s="83">
        <v>6.3</v>
      </c>
      <c r="V599" s="296">
        <v>2019</v>
      </c>
    </row>
    <row r="600" spans="1:22" ht="45">
      <c r="A600" s="70">
        <v>161</v>
      </c>
      <c r="B600" s="34" t="s">
        <v>1518</v>
      </c>
      <c r="C600" s="35">
        <v>1986</v>
      </c>
      <c r="D600" s="37"/>
      <c r="E600" s="37" t="s">
        <v>494</v>
      </c>
      <c r="F600" s="36">
        <v>5</v>
      </c>
      <c r="G600" s="36">
        <v>3</v>
      </c>
      <c r="H600" s="37">
        <v>3287.8</v>
      </c>
      <c r="I600" s="275">
        <v>3287.8</v>
      </c>
      <c r="J600" s="275">
        <v>3107.7</v>
      </c>
      <c r="K600" s="271">
        <v>150</v>
      </c>
      <c r="L600" s="24" t="s">
        <v>129</v>
      </c>
      <c r="M600" s="163">
        <v>1564376.79</v>
      </c>
      <c r="N600" s="28"/>
      <c r="O600" s="28"/>
      <c r="P600" s="28"/>
      <c r="Q600" s="17">
        <v>1564376.79</v>
      </c>
      <c r="R600" s="29">
        <f t="shared" si="47"/>
        <v>475.81263763002613</v>
      </c>
      <c r="S600" s="131">
        <v>14736.15</v>
      </c>
      <c r="T600" s="24" t="s">
        <v>1359</v>
      </c>
      <c r="U600" s="83">
        <v>6.3</v>
      </c>
      <c r="V600" s="296">
        <v>2019</v>
      </c>
    </row>
    <row r="601" spans="1:22" ht="45">
      <c r="A601" s="70">
        <v>162</v>
      </c>
      <c r="B601" s="34" t="s">
        <v>128</v>
      </c>
      <c r="C601" s="35">
        <v>1971</v>
      </c>
      <c r="D601" s="37"/>
      <c r="E601" s="37" t="s">
        <v>494</v>
      </c>
      <c r="F601" s="36">
        <v>5</v>
      </c>
      <c r="G601" s="36">
        <v>4</v>
      </c>
      <c r="H601" s="37">
        <v>3511.5</v>
      </c>
      <c r="I601" s="29">
        <v>3511.5</v>
      </c>
      <c r="J601" s="29">
        <v>3231.1</v>
      </c>
      <c r="K601" s="36">
        <v>191</v>
      </c>
      <c r="L601" s="24" t="s">
        <v>384</v>
      </c>
      <c r="M601" s="163">
        <v>1523714.15</v>
      </c>
      <c r="N601" s="28"/>
      <c r="O601" s="28"/>
      <c r="P601" s="28"/>
      <c r="Q601" s="17">
        <v>1523714.15</v>
      </c>
      <c r="R601" s="29">
        <f t="shared" si="47"/>
        <v>433.9211590488395</v>
      </c>
      <c r="S601" s="131">
        <v>14736.15</v>
      </c>
      <c r="T601" s="24" t="s">
        <v>1359</v>
      </c>
      <c r="U601" s="83">
        <v>6.3</v>
      </c>
      <c r="V601" s="296">
        <v>2019</v>
      </c>
    </row>
    <row r="602" spans="1:22" ht="45">
      <c r="A602" s="70">
        <v>163</v>
      </c>
      <c r="B602" s="41" t="s">
        <v>104</v>
      </c>
      <c r="C602" s="42">
        <v>1964</v>
      </c>
      <c r="D602" s="40"/>
      <c r="E602" s="40" t="s">
        <v>374</v>
      </c>
      <c r="F602" s="39">
        <v>5</v>
      </c>
      <c r="G602" s="39">
        <v>4</v>
      </c>
      <c r="H602" s="40">
        <v>3026.6</v>
      </c>
      <c r="I602" s="40">
        <v>3026.6</v>
      </c>
      <c r="J602" s="276">
        <v>3632</v>
      </c>
      <c r="K602" s="39">
        <v>174</v>
      </c>
      <c r="L602" s="24" t="s">
        <v>129</v>
      </c>
      <c r="M602" s="163">
        <v>2882642.14</v>
      </c>
      <c r="N602" s="28"/>
      <c r="O602" s="28"/>
      <c r="P602" s="28"/>
      <c r="Q602" s="17">
        <v>2882642.14</v>
      </c>
      <c r="R602" s="29">
        <f t="shared" si="47"/>
        <v>952.4357827264919</v>
      </c>
      <c r="S602" s="131">
        <v>14736.15</v>
      </c>
      <c r="T602" s="24" t="s">
        <v>1359</v>
      </c>
      <c r="U602" s="83">
        <v>6.3</v>
      </c>
      <c r="V602" s="296">
        <v>2019</v>
      </c>
    </row>
    <row r="603" spans="1:22" ht="45">
      <c r="A603" s="70">
        <v>164</v>
      </c>
      <c r="B603" s="34" t="s">
        <v>985</v>
      </c>
      <c r="C603" s="35">
        <v>1965</v>
      </c>
      <c r="D603" s="37"/>
      <c r="E603" s="37" t="s">
        <v>374</v>
      </c>
      <c r="F603" s="36">
        <v>5</v>
      </c>
      <c r="G603" s="36">
        <v>6</v>
      </c>
      <c r="H603" s="37">
        <v>4738.1</v>
      </c>
      <c r="I603" s="37">
        <v>4738.1</v>
      </c>
      <c r="J603" s="29">
        <v>1580</v>
      </c>
      <c r="K603" s="36">
        <v>311</v>
      </c>
      <c r="L603" s="24" t="s">
        <v>1069</v>
      </c>
      <c r="M603" s="163">
        <v>4535739.52</v>
      </c>
      <c r="N603" s="28"/>
      <c r="O603" s="28"/>
      <c r="P603" s="28"/>
      <c r="Q603" s="17">
        <v>4535739.52</v>
      </c>
      <c r="R603" s="29">
        <f t="shared" si="47"/>
        <v>957.2907958886472</v>
      </c>
      <c r="S603" s="131">
        <v>14736.15</v>
      </c>
      <c r="T603" s="24" t="s">
        <v>1359</v>
      </c>
      <c r="U603" s="83">
        <v>6.3</v>
      </c>
      <c r="V603" s="296">
        <v>2019</v>
      </c>
    </row>
    <row r="604" spans="1:22" ht="45">
      <c r="A604" s="70">
        <v>165</v>
      </c>
      <c r="B604" s="34" t="s">
        <v>1519</v>
      </c>
      <c r="C604" s="35">
        <v>1985</v>
      </c>
      <c r="D604" s="37"/>
      <c r="E604" s="37" t="s">
        <v>494</v>
      </c>
      <c r="F604" s="36">
        <v>9</v>
      </c>
      <c r="G604" s="36">
        <v>1</v>
      </c>
      <c r="H604" s="37">
        <v>3688.7</v>
      </c>
      <c r="I604" s="37">
        <v>3688.7</v>
      </c>
      <c r="J604" s="37">
        <v>1791.4</v>
      </c>
      <c r="K604" s="36">
        <v>212</v>
      </c>
      <c r="L604" s="24" t="s">
        <v>129</v>
      </c>
      <c r="M604" s="163">
        <v>1523531.48</v>
      </c>
      <c r="N604" s="28"/>
      <c r="O604" s="28"/>
      <c r="P604" s="28"/>
      <c r="Q604" s="17">
        <v>1523531.48</v>
      </c>
      <c r="R604" s="29">
        <f t="shared" si="47"/>
        <v>413.02667064277387</v>
      </c>
      <c r="S604" s="131">
        <v>14736.15</v>
      </c>
      <c r="T604" s="24" t="s">
        <v>1359</v>
      </c>
      <c r="U604" s="83">
        <v>6.3</v>
      </c>
      <c r="V604" s="296">
        <v>2019</v>
      </c>
    </row>
    <row r="605" spans="1:22" ht="45">
      <c r="A605" s="70">
        <v>166</v>
      </c>
      <c r="B605" s="41" t="s">
        <v>979</v>
      </c>
      <c r="C605" s="42">
        <v>1964</v>
      </c>
      <c r="D605" s="37"/>
      <c r="E605" s="37" t="s">
        <v>374</v>
      </c>
      <c r="F605" s="39">
        <v>5</v>
      </c>
      <c r="G605" s="39">
        <v>3</v>
      </c>
      <c r="H605" s="40">
        <v>2460.8</v>
      </c>
      <c r="I605" s="40">
        <v>2460.8</v>
      </c>
      <c r="J605" s="40">
        <v>2460.8</v>
      </c>
      <c r="K605" s="39">
        <v>144</v>
      </c>
      <c r="L605" s="26" t="s">
        <v>384</v>
      </c>
      <c r="M605" s="170">
        <v>1429025.88</v>
      </c>
      <c r="N605" s="28"/>
      <c r="O605" s="28"/>
      <c r="P605" s="28"/>
      <c r="Q605" s="18">
        <v>1429025.88</v>
      </c>
      <c r="R605" s="29">
        <f t="shared" si="47"/>
        <v>580.715978543563</v>
      </c>
      <c r="S605" s="131">
        <v>14736.15</v>
      </c>
      <c r="T605" s="24" t="s">
        <v>1359</v>
      </c>
      <c r="U605" s="83">
        <v>6.3</v>
      </c>
      <c r="V605" s="296">
        <v>2019</v>
      </c>
    </row>
    <row r="606" spans="1:22" ht="45">
      <c r="A606" s="70">
        <v>167</v>
      </c>
      <c r="B606" s="34" t="s">
        <v>130</v>
      </c>
      <c r="C606" s="42">
        <v>1973</v>
      </c>
      <c r="D606" s="37"/>
      <c r="E606" s="37" t="s">
        <v>374</v>
      </c>
      <c r="F606" s="36">
        <v>9</v>
      </c>
      <c r="G606" s="36">
        <v>2</v>
      </c>
      <c r="H606" s="37">
        <v>5503.8</v>
      </c>
      <c r="I606" s="37">
        <v>5503.8</v>
      </c>
      <c r="J606" s="29">
        <v>4838.2</v>
      </c>
      <c r="K606" s="36">
        <v>357</v>
      </c>
      <c r="L606" s="26" t="s">
        <v>129</v>
      </c>
      <c r="M606" s="163">
        <v>1949642.66</v>
      </c>
      <c r="N606" s="28"/>
      <c r="O606" s="28"/>
      <c r="P606" s="28"/>
      <c r="Q606" s="17">
        <v>1949642.66</v>
      </c>
      <c r="R606" s="29">
        <f t="shared" si="47"/>
        <v>354.2357389440023</v>
      </c>
      <c r="S606" s="131">
        <v>14736.15</v>
      </c>
      <c r="T606" s="24" t="s">
        <v>1359</v>
      </c>
      <c r="U606" s="83">
        <v>6.3</v>
      </c>
      <c r="V606" s="296">
        <v>2019</v>
      </c>
    </row>
    <row r="607" spans="1:22" ht="45">
      <c r="A607" s="70">
        <v>168</v>
      </c>
      <c r="B607" s="34" t="s">
        <v>131</v>
      </c>
      <c r="C607" s="42">
        <v>1971</v>
      </c>
      <c r="D607" s="37"/>
      <c r="E607" s="37" t="s">
        <v>494</v>
      </c>
      <c r="F607" s="36">
        <v>5</v>
      </c>
      <c r="G607" s="36">
        <v>4</v>
      </c>
      <c r="H607" s="37">
        <v>3534.5</v>
      </c>
      <c r="I607" s="37">
        <v>3534.5</v>
      </c>
      <c r="J607" s="29">
        <v>3265.3</v>
      </c>
      <c r="K607" s="36">
        <v>204</v>
      </c>
      <c r="L607" s="26" t="s">
        <v>129</v>
      </c>
      <c r="M607" s="163">
        <v>1441094.64</v>
      </c>
      <c r="N607" s="28"/>
      <c r="O607" s="28"/>
      <c r="P607" s="28"/>
      <c r="Q607" s="17">
        <v>1441094.64</v>
      </c>
      <c r="R607" s="29">
        <f t="shared" si="47"/>
        <v>407.7223482812279</v>
      </c>
      <c r="S607" s="131">
        <v>14736.15</v>
      </c>
      <c r="T607" s="24" t="s">
        <v>1359</v>
      </c>
      <c r="U607" s="83">
        <v>6.3</v>
      </c>
      <c r="V607" s="296">
        <v>2019</v>
      </c>
    </row>
    <row r="608" spans="1:22" ht="15">
      <c r="A608" s="129"/>
      <c r="B608" s="112" t="s">
        <v>871</v>
      </c>
      <c r="C608" s="24"/>
      <c r="D608" s="24"/>
      <c r="E608" s="24"/>
      <c r="F608" s="24"/>
      <c r="G608" s="24"/>
      <c r="H608" s="81">
        <f>SUM(H577:H607)</f>
        <v>115014.47</v>
      </c>
      <c r="I608" s="81">
        <f>SUM(I577:I607)</f>
        <v>115020.17000000001</v>
      </c>
      <c r="J608" s="81">
        <f>SUM(J577:J607)</f>
        <v>91986.09999999999</v>
      </c>
      <c r="K608" s="98">
        <f>SUM(K577:K607)</f>
        <v>6430</v>
      </c>
      <c r="L608" s="81"/>
      <c r="M608" s="81">
        <f>SUM(M577:M607)</f>
        <v>142693956.98999998</v>
      </c>
      <c r="N608" s="81"/>
      <c r="O608" s="81"/>
      <c r="P608" s="81"/>
      <c r="Q608" s="81">
        <f>SUM(Q577:Q607)</f>
        <v>142693956.98999998</v>
      </c>
      <c r="R608" s="96">
        <f t="shared" si="47"/>
        <v>1240.5994269526811</v>
      </c>
      <c r="S608" s="131"/>
      <c r="T608" s="136"/>
      <c r="U608" s="142"/>
      <c r="V608" s="296"/>
    </row>
    <row r="609" spans="1:22" ht="15">
      <c r="A609" s="300" t="s">
        <v>74</v>
      </c>
      <c r="B609" s="301"/>
      <c r="C609" s="301"/>
      <c r="D609" s="301"/>
      <c r="E609" s="301"/>
      <c r="F609" s="301"/>
      <c r="G609" s="301"/>
      <c r="H609" s="301"/>
      <c r="I609" s="301"/>
      <c r="J609" s="301"/>
      <c r="K609" s="301"/>
      <c r="L609" s="301"/>
      <c r="M609" s="301"/>
      <c r="N609" s="301"/>
      <c r="O609" s="301"/>
      <c r="P609" s="301"/>
      <c r="Q609" s="302"/>
      <c r="R609" s="301"/>
      <c r="S609" s="301"/>
      <c r="T609" s="301"/>
      <c r="U609" s="303"/>
      <c r="V609" s="296"/>
    </row>
    <row r="610" spans="1:22" ht="57" customHeight="1">
      <c r="A610" s="70">
        <v>169</v>
      </c>
      <c r="B610" s="117" t="s">
        <v>435</v>
      </c>
      <c r="C610" s="35">
        <v>1969</v>
      </c>
      <c r="D610" s="29"/>
      <c r="E610" s="29" t="s">
        <v>494</v>
      </c>
      <c r="F610" s="35">
        <v>5</v>
      </c>
      <c r="G610" s="35">
        <v>4</v>
      </c>
      <c r="H610" s="37">
        <v>3771.75</v>
      </c>
      <c r="I610" s="37">
        <v>3491.75</v>
      </c>
      <c r="J610" s="37">
        <v>3318.67</v>
      </c>
      <c r="K610" s="36">
        <v>149</v>
      </c>
      <c r="L610" s="29" t="s">
        <v>150</v>
      </c>
      <c r="M610" s="37">
        <v>1136488.27</v>
      </c>
      <c r="N610" s="37"/>
      <c r="O610" s="37"/>
      <c r="P610" s="37"/>
      <c r="Q610" s="37">
        <v>1136488.27</v>
      </c>
      <c r="R610" s="29">
        <f>M610/I610</f>
        <v>325.47813274146205</v>
      </c>
      <c r="S610" s="131">
        <v>14736.15</v>
      </c>
      <c r="T610" s="24" t="s">
        <v>1359</v>
      </c>
      <c r="U610" s="83">
        <v>6.3</v>
      </c>
      <c r="V610" s="296">
        <v>2019</v>
      </c>
    </row>
    <row r="611" spans="1:22" ht="60">
      <c r="A611" s="70">
        <v>170</v>
      </c>
      <c r="B611" s="117" t="s">
        <v>436</v>
      </c>
      <c r="C611" s="35">
        <v>1968</v>
      </c>
      <c r="D611" s="29"/>
      <c r="E611" s="29" t="s">
        <v>374</v>
      </c>
      <c r="F611" s="35">
        <v>5</v>
      </c>
      <c r="G611" s="35">
        <v>4</v>
      </c>
      <c r="H611" s="37">
        <v>3353.09</v>
      </c>
      <c r="I611" s="37">
        <v>3108.85</v>
      </c>
      <c r="J611" s="37">
        <v>2714.89</v>
      </c>
      <c r="K611" s="36">
        <v>128</v>
      </c>
      <c r="L611" s="29" t="s">
        <v>827</v>
      </c>
      <c r="M611" s="37">
        <v>4322528.01</v>
      </c>
      <c r="N611" s="37"/>
      <c r="O611" s="37"/>
      <c r="P611" s="37"/>
      <c r="Q611" s="37">
        <v>4322528.01</v>
      </c>
      <c r="R611" s="29">
        <f aca="true" t="shared" si="48" ref="R611:R616">M611/I611</f>
        <v>1390.394522090162</v>
      </c>
      <c r="S611" s="131">
        <v>14736.15</v>
      </c>
      <c r="T611" s="24" t="s">
        <v>1359</v>
      </c>
      <c r="U611" s="83">
        <v>6.3</v>
      </c>
      <c r="V611" s="296">
        <v>2019</v>
      </c>
    </row>
    <row r="612" spans="1:22" ht="60">
      <c r="A612" s="70">
        <v>171</v>
      </c>
      <c r="B612" s="117" t="s">
        <v>437</v>
      </c>
      <c r="C612" s="35">
        <v>1966</v>
      </c>
      <c r="D612" s="29"/>
      <c r="E612" s="29" t="s">
        <v>374</v>
      </c>
      <c r="F612" s="35">
        <v>4</v>
      </c>
      <c r="G612" s="35">
        <v>3</v>
      </c>
      <c r="H612" s="37">
        <v>2163.76</v>
      </c>
      <c r="I612" s="37">
        <v>2128.97</v>
      </c>
      <c r="J612" s="37">
        <v>1870.86</v>
      </c>
      <c r="K612" s="36">
        <v>62</v>
      </c>
      <c r="L612" s="29" t="s">
        <v>828</v>
      </c>
      <c r="M612" s="37">
        <v>3227775.51</v>
      </c>
      <c r="N612" s="37"/>
      <c r="O612" s="37"/>
      <c r="P612" s="37"/>
      <c r="Q612" s="37">
        <v>3227775.51</v>
      </c>
      <c r="R612" s="29">
        <f t="shared" si="48"/>
        <v>1516.1207109541233</v>
      </c>
      <c r="S612" s="131">
        <v>14736.15</v>
      </c>
      <c r="T612" s="24" t="s">
        <v>1359</v>
      </c>
      <c r="U612" s="83">
        <v>6.3</v>
      </c>
      <c r="V612" s="296">
        <v>2019</v>
      </c>
    </row>
    <row r="613" spans="1:22" ht="60">
      <c r="A613" s="70">
        <v>172</v>
      </c>
      <c r="B613" s="117" t="s">
        <v>613</v>
      </c>
      <c r="C613" s="35">
        <v>1968</v>
      </c>
      <c r="D613" s="29"/>
      <c r="E613" s="29" t="s">
        <v>374</v>
      </c>
      <c r="F613" s="35">
        <v>4</v>
      </c>
      <c r="G613" s="35">
        <v>3</v>
      </c>
      <c r="H613" s="37">
        <v>2148.17</v>
      </c>
      <c r="I613" s="37">
        <v>1986.97</v>
      </c>
      <c r="J613" s="37">
        <v>1278.36</v>
      </c>
      <c r="K613" s="36">
        <v>57</v>
      </c>
      <c r="L613" s="29" t="s">
        <v>841</v>
      </c>
      <c r="M613" s="37">
        <v>5116598.92</v>
      </c>
      <c r="N613" s="37"/>
      <c r="O613" s="37"/>
      <c r="P613" s="37"/>
      <c r="Q613" s="37">
        <v>5116598.92</v>
      </c>
      <c r="R613" s="29">
        <f t="shared" si="48"/>
        <v>2575.0760806655358</v>
      </c>
      <c r="S613" s="131">
        <v>14736.15</v>
      </c>
      <c r="T613" s="24" t="s">
        <v>1359</v>
      </c>
      <c r="U613" s="83">
        <v>6.3</v>
      </c>
      <c r="V613" s="296">
        <v>2019</v>
      </c>
    </row>
    <row r="614" spans="1:22" ht="60">
      <c r="A614" s="70">
        <v>173</v>
      </c>
      <c r="B614" s="117" t="s">
        <v>614</v>
      </c>
      <c r="C614" s="35">
        <v>1969</v>
      </c>
      <c r="D614" s="29"/>
      <c r="E614" s="29" t="s">
        <v>374</v>
      </c>
      <c r="F614" s="35">
        <v>5</v>
      </c>
      <c r="G614" s="35">
        <v>4</v>
      </c>
      <c r="H614" s="37">
        <v>3454.24</v>
      </c>
      <c r="I614" s="37">
        <v>3183.54</v>
      </c>
      <c r="J614" s="37">
        <v>2499.24</v>
      </c>
      <c r="K614" s="36">
        <v>68</v>
      </c>
      <c r="L614" s="29" t="s">
        <v>775</v>
      </c>
      <c r="M614" s="37">
        <v>1333317.93</v>
      </c>
      <c r="N614" s="37"/>
      <c r="O614" s="37"/>
      <c r="P614" s="37"/>
      <c r="Q614" s="37">
        <v>1333317.93</v>
      </c>
      <c r="R614" s="29">
        <f t="shared" si="48"/>
        <v>418.8161386381198</v>
      </c>
      <c r="S614" s="131">
        <v>14736.15</v>
      </c>
      <c r="T614" s="24" t="s">
        <v>1359</v>
      </c>
      <c r="U614" s="83">
        <v>6.3</v>
      </c>
      <c r="V614" s="296">
        <v>2019</v>
      </c>
    </row>
    <row r="615" spans="1:22" ht="105">
      <c r="A615" s="70">
        <v>174</v>
      </c>
      <c r="B615" s="117" t="s">
        <v>615</v>
      </c>
      <c r="C615" s="35">
        <v>1958</v>
      </c>
      <c r="D615" s="29"/>
      <c r="E615" s="29" t="s">
        <v>374</v>
      </c>
      <c r="F615" s="35">
        <v>2</v>
      </c>
      <c r="G615" s="35">
        <v>1</v>
      </c>
      <c r="H615" s="37">
        <v>301.57</v>
      </c>
      <c r="I615" s="37">
        <v>276.54</v>
      </c>
      <c r="J615" s="37">
        <v>238.81</v>
      </c>
      <c r="K615" s="36">
        <v>12</v>
      </c>
      <c r="L615" s="29" t="s">
        <v>1146</v>
      </c>
      <c r="M615" s="37">
        <v>700210.95</v>
      </c>
      <c r="N615" s="37"/>
      <c r="O615" s="37"/>
      <c r="P615" s="37"/>
      <c r="Q615" s="37">
        <v>700210.95</v>
      </c>
      <c r="R615" s="29">
        <f t="shared" si="48"/>
        <v>2532.042200043393</v>
      </c>
      <c r="S615" s="131">
        <v>14736.15</v>
      </c>
      <c r="T615" s="24" t="s">
        <v>1359</v>
      </c>
      <c r="U615" s="83">
        <v>6.3</v>
      </c>
      <c r="V615" s="296">
        <v>2019</v>
      </c>
    </row>
    <row r="616" spans="1:22" ht="31.5" customHeight="1">
      <c r="A616" s="70">
        <v>175</v>
      </c>
      <c r="B616" s="117" t="s">
        <v>73</v>
      </c>
      <c r="C616" s="35">
        <v>1964</v>
      </c>
      <c r="D616" s="29"/>
      <c r="E616" s="29" t="s">
        <v>374</v>
      </c>
      <c r="F616" s="35">
        <v>4</v>
      </c>
      <c r="G616" s="35">
        <v>3</v>
      </c>
      <c r="H616" s="37">
        <v>2132.41</v>
      </c>
      <c r="I616" s="37">
        <v>1976.09</v>
      </c>
      <c r="J616" s="37">
        <v>1689.79</v>
      </c>
      <c r="K616" s="36">
        <v>81</v>
      </c>
      <c r="L616" s="29" t="s">
        <v>384</v>
      </c>
      <c r="M616" s="37">
        <v>554427.34</v>
      </c>
      <c r="N616" s="37"/>
      <c r="O616" s="37"/>
      <c r="P616" s="37"/>
      <c r="Q616" s="37">
        <v>554427.34</v>
      </c>
      <c r="R616" s="29">
        <f t="shared" si="48"/>
        <v>280.5678587513727</v>
      </c>
      <c r="S616" s="131">
        <v>14736.15</v>
      </c>
      <c r="T616" s="24" t="s">
        <v>1359</v>
      </c>
      <c r="U616" s="83">
        <v>6.3</v>
      </c>
      <c r="V616" s="296">
        <v>2019</v>
      </c>
    </row>
    <row r="617" spans="1:22" ht="15">
      <c r="A617" s="70"/>
      <c r="B617" s="112" t="s">
        <v>782</v>
      </c>
      <c r="C617" s="121"/>
      <c r="D617" s="121"/>
      <c r="E617" s="122"/>
      <c r="F617" s="121"/>
      <c r="G617" s="121"/>
      <c r="H617" s="123">
        <f>SUM(H610:H616)</f>
        <v>17324.989999999998</v>
      </c>
      <c r="I617" s="123">
        <f>SUM(I610:I616)</f>
        <v>16152.71</v>
      </c>
      <c r="J617" s="123">
        <f>SUM(J610:J616)</f>
        <v>13610.619999999999</v>
      </c>
      <c r="K617" s="124">
        <f>SUM(K610:K616)</f>
        <v>557</v>
      </c>
      <c r="L617" s="24"/>
      <c r="M617" s="81">
        <f>SUM(M610:M616)</f>
        <v>16391346.929999998</v>
      </c>
      <c r="N617" s="81"/>
      <c r="O617" s="81"/>
      <c r="P617" s="81"/>
      <c r="Q617" s="81">
        <f>SUM(Q610:Q616)</f>
        <v>16391346.929999998</v>
      </c>
      <c r="R617" s="96">
        <f>M617/I617</f>
        <v>1014.7738014240334</v>
      </c>
      <c r="S617" s="131"/>
      <c r="T617" s="136"/>
      <c r="U617" s="142"/>
      <c r="V617" s="296"/>
    </row>
    <row r="618" spans="1:22" ht="17.25" customHeight="1">
      <c r="A618" s="300" t="s">
        <v>1372</v>
      </c>
      <c r="B618" s="301"/>
      <c r="C618" s="301"/>
      <c r="D618" s="301"/>
      <c r="E618" s="301"/>
      <c r="F618" s="301"/>
      <c r="G618" s="301"/>
      <c r="H618" s="301"/>
      <c r="I618" s="301"/>
      <c r="J618" s="301"/>
      <c r="K618" s="301"/>
      <c r="L618" s="301"/>
      <c r="M618" s="301"/>
      <c r="N618" s="301"/>
      <c r="O618" s="301"/>
      <c r="P618" s="301"/>
      <c r="Q618" s="302"/>
      <c r="R618" s="301"/>
      <c r="S618" s="301"/>
      <c r="T618" s="301"/>
      <c r="U618" s="303"/>
      <c r="V618" s="296"/>
    </row>
    <row r="619" spans="1:22" ht="116.25" customHeight="1">
      <c r="A619" s="70">
        <v>176</v>
      </c>
      <c r="B619" s="82" t="s">
        <v>1427</v>
      </c>
      <c r="C619" s="24">
        <v>1967</v>
      </c>
      <c r="D619" s="24"/>
      <c r="E619" s="35" t="s">
        <v>374</v>
      </c>
      <c r="F619" s="24" t="s">
        <v>1072</v>
      </c>
      <c r="G619" s="24">
        <v>3</v>
      </c>
      <c r="H619" s="37">
        <v>1676.8</v>
      </c>
      <c r="I619" s="37">
        <v>1493.3</v>
      </c>
      <c r="J619" s="37">
        <v>1203.5</v>
      </c>
      <c r="K619" s="36">
        <v>46</v>
      </c>
      <c r="L619" s="24" t="s">
        <v>82</v>
      </c>
      <c r="M619" s="37">
        <v>3636113.06</v>
      </c>
      <c r="N619" s="109">
        <v>3636113.06</v>
      </c>
      <c r="O619" s="109">
        <f>M619-N619</f>
        <v>0</v>
      </c>
      <c r="P619" s="109"/>
      <c r="Q619" s="37">
        <v>3636113.06</v>
      </c>
      <c r="R619" s="37">
        <f aca="true" t="shared" si="49" ref="R619:R671">M619/I619</f>
        <v>2434.951489988616</v>
      </c>
      <c r="S619" s="29">
        <v>14736.15</v>
      </c>
      <c r="T619" s="24" t="s">
        <v>1359</v>
      </c>
      <c r="U619" s="83">
        <v>6.3</v>
      </c>
      <c r="V619" s="296">
        <v>2019</v>
      </c>
    </row>
    <row r="620" spans="1:22" ht="135.75" customHeight="1">
      <c r="A620" s="70">
        <v>177</v>
      </c>
      <c r="B620" s="82" t="s">
        <v>1428</v>
      </c>
      <c r="C620" s="24">
        <v>1963</v>
      </c>
      <c r="D620" s="24"/>
      <c r="E620" s="35" t="s">
        <v>374</v>
      </c>
      <c r="F620" s="24" t="s">
        <v>1072</v>
      </c>
      <c r="G620" s="24">
        <v>2</v>
      </c>
      <c r="H620" s="37">
        <v>1398.6</v>
      </c>
      <c r="I620" s="37">
        <v>1250.6</v>
      </c>
      <c r="J620" s="37">
        <v>1250.6</v>
      </c>
      <c r="K620" s="36">
        <v>56</v>
      </c>
      <c r="L620" s="24" t="s">
        <v>508</v>
      </c>
      <c r="M620" s="37">
        <v>3780233.16</v>
      </c>
      <c r="N620" s="109">
        <v>3780233.1599999997</v>
      </c>
      <c r="O620" s="109">
        <f aca="true" t="shared" si="50" ref="O620:O683">M620-N620</f>
        <v>0</v>
      </c>
      <c r="P620" s="109"/>
      <c r="Q620" s="37">
        <v>3780233.16</v>
      </c>
      <c r="R620" s="37">
        <f t="shared" si="49"/>
        <v>3022.735614904846</v>
      </c>
      <c r="S620" s="29">
        <v>14736.15</v>
      </c>
      <c r="T620" s="24" t="s">
        <v>1359</v>
      </c>
      <c r="U620" s="83">
        <v>6.3</v>
      </c>
      <c r="V620" s="296">
        <v>2019</v>
      </c>
    </row>
    <row r="621" spans="1:22" ht="49.5" customHeight="1">
      <c r="A621" s="70">
        <v>178</v>
      </c>
      <c r="B621" s="82" t="s">
        <v>1429</v>
      </c>
      <c r="C621" s="24">
        <v>1972</v>
      </c>
      <c r="D621" s="24">
        <v>2009</v>
      </c>
      <c r="E621" s="35" t="s">
        <v>374</v>
      </c>
      <c r="F621" s="24" t="s">
        <v>1073</v>
      </c>
      <c r="G621" s="24">
        <v>1</v>
      </c>
      <c r="H621" s="37">
        <v>1622.84</v>
      </c>
      <c r="I621" s="37">
        <v>1469.84</v>
      </c>
      <c r="J621" s="37">
        <v>1410.24</v>
      </c>
      <c r="K621" s="36">
        <v>60</v>
      </c>
      <c r="L621" s="24" t="s">
        <v>496</v>
      </c>
      <c r="M621" s="37">
        <v>1181515.53</v>
      </c>
      <c r="N621" s="109">
        <v>1181515.53</v>
      </c>
      <c r="O621" s="109">
        <f t="shared" si="50"/>
        <v>0</v>
      </c>
      <c r="P621" s="109"/>
      <c r="Q621" s="37">
        <v>1181515.53</v>
      </c>
      <c r="R621" s="37">
        <f t="shared" si="49"/>
        <v>803.8395539650575</v>
      </c>
      <c r="S621" s="29">
        <v>14736.15</v>
      </c>
      <c r="T621" s="24" t="s">
        <v>1359</v>
      </c>
      <c r="U621" s="83">
        <v>6.3</v>
      </c>
      <c r="V621" s="296">
        <v>2019</v>
      </c>
    </row>
    <row r="622" spans="1:22" ht="180">
      <c r="A622" s="70">
        <v>179</v>
      </c>
      <c r="B622" s="82" t="s">
        <v>1430</v>
      </c>
      <c r="C622" s="24">
        <v>1973</v>
      </c>
      <c r="D622" s="24"/>
      <c r="E622" s="35" t="s">
        <v>374</v>
      </c>
      <c r="F622" s="24" t="s">
        <v>1073</v>
      </c>
      <c r="G622" s="24">
        <v>1</v>
      </c>
      <c r="H622" s="37">
        <v>1728.1</v>
      </c>
      <c r="I622" s="37">
        <v>1525.1</v>
      </c>
      <c r="J622" s="37">
        <v>1525.1</v>
      </c>
      <c r="K622" s="36">
        <v>59</v>
      </c>
      <c r="L622" s="24" t="s">
        <v>1541</v>
      </c>
      <c r="M622" s="37">
        <v>1960955.97</v>
      </c>
      <c r="N622" s="109">
        <v>1960955.97</v>
      </c>
      <c r="O622" s="109">
        <f t="shared" si="50"/>
        <v>0</v>
      </c>
      <c r="P622" s="109"/>
      <c r="Q622" s="37">
        <v>1960955.97</v>
      </c>
      <c r="R622" s="37">
        <f t="shared" si="49"/>
        <v>1285.7884532161827</v>
      </c>
      <c r="S622" s="29">
        <v>14736.15</v>
      </c>
      <c r="T622" s="24" t="s">
        <v>1359</v>
      </c>
      <c r="U622" s="83">
        <v>6.3</v>
      </c>
      <c r="V622" s="296">
        <v>2019</v>
      </c>
    </row>
    <row r="623" spans="1:22" ht="45">
      <c r="A623" s="70">
        <v>180</v>
      </c>
      <c r="B623" s="82" t="s">
        <v>1431</v>
      </c>
      <c r="C623" s="24">
        <v>1964</v>
      </c>
      <c r="D623" s="24"/>
      <c r="E623" s="35" t="s">
        <v>374</v>
      </c>
      <c r="F623" s="24" t="s">
        <v>1073</v>
      </c>
      <c r="G623" s="24">
        <v>4</v>
      </c>
      <c r="H623" s="37">
        <v>3428.1</v>
      </c>
      <c r="I623" s="37">
        <v>3128.1</v>
      </c>
      <c r="J623" s="37">
        <v>2970.1</v>
      </c>
      <c r="K623" s="36">
        <v>161</v>
      </c>
      <c r="L623" s="24" t="s">
        <v>497</v>
      </c>
      <c r="M623" s="37">
        <v>3090662.41</v>
      </c>
      <c r="N623" s="109">
        <v>3090662.41</v>
      </c>
      <c r="O623" s="109">
        <f t="shared" si="50"/>
        <v>0</v>
      </c>
      <c r="P623" s="109"/>
      <c r="Q623" s="37">
        <v>3090662.41</v>
      </c>
      <c r="R623" s="37">
        <f t="shared" si="49"/>
        <v>988.0318436111378</v>
      </c>
      <c r="S623" s="29">
        <v>14736.15</v>
      </c>
      <c r="T623" s="24" t="s">
        <v>1359</v>
      </c>
      <c r="U623" s="83">
        <v>6.3</v>
      </c>
      <c r="V623" s="296">
        <v>2019</v>
      </c>
    </row>
    <row r="624" spans="1:22" ht="130.5" customHeight="1">
      <c r="A624" s="70">
        <v>181</v>
      </c>
      <c r="B624" s="82" t="s">
        <v>1432</v>
      </c>
      <c r="C624" s="24">
        <v>1962</v>
      </c>
      <c r="D624" s="24"/>
      <c r="E624" s="35" t="s">
        <v>374</v>
      </c>
      <c r="F624" s="24" t="s">
        <v>1073</v>
      </c>
      <c r="G624" s="24">
        <v>3</v>
      </c>
      <c r="H624" s="37">
        <v>3174.49</v>
      </c>
      <c r="I624" s="37">
        <v>2949.46</v>
      </c>
      <c r="J624" s="37">
        <v>2526.38</v>
      </c>
      <c r="K624" s="36">
        <v>218</v>
      </c>
      <c r="L624" s="24" t="s">
        <v>509</v>
      </c>
      <c r="M624" s="37">
        <v>5799836.44</v>
      </c>
      <c r="N624" s="109">
        <v>5799836.4399999995</v>
      </c>
      <c r="O624" s="109">
        <f t="shared" si="50"/>
        <v>0</v>
      </c>
      <c r="P624" s="109"/>
      <c r="Q624" s="37">
        <v>5799836.44</v>
      </c>
      <c r="R624" s="37">
        <f t="shared" si="49"/>
        <v>1966.4062031693938</v>
      </c>
      <c r="S624" s="29">
        <v>14736.15</v>
      </c>
      <c r="T624" s="24" t="s">
        <v>1359</v>
      </c>
      <c r="U624" s="83">
        <v>6.3</v>
      </c>
      <c r="V624" s="296">
        <v>2019</v>
      </c>
    </row>
    <row r="625" spans="1:22" ht="105">
      <c r="A625" s="70">
        <v>182</v>
      </c>
      <c r="B625" s="82" t="s">
        <v>438</v>
      </c>
      <c r="C625" s="24">
        <v>1972</v>
      </c>
      <c r="D625" s="24">
        <v>2012</v>
      </c>
      <c r="E625" s="35" t="s">
        <v>374</v>
      </c>
      <c r="F625" s="24" t="s">
        <v>1077</v>
      </c>
      <c r="G625" s="24">
        <v>2</v>
      </c>
      <c r="H625" s="37">
        <v>7841.81</v>
      </c>
      <c r="I625" s="37">
        <v>6683.81</v>
      </c>
      <c r="J625" s="37">
        <v>6346.81</v>
      </c>
      <c r="K625" s="36">
        <v>432</v>
      </c>
      <c r="L625" s="24" t="s">
        <v>516</v>
      </c>
      <c r="M625" s="37">
        <v>5021574.85</v>
      </c>
      <c r="N625" s="109">
        <v>5021574.85</v>
      </c>
      <c r="O625" s="109">
        <f t="shared" si="50"/>
        <v>0</v>
      </c>
      <c r="P625" s="109"/>
      <c r="Q625" s="37">
        <v>5021574.85</v>
      </c>
      <c r="R625" s="37">
        <f t="shared" si="49"/>
        <v>751.3042486246616</v>
      </c>
      <c r="S625" s="29">
        <v>14736.15</v>
      </c>
      <c r="T625" s="24" t="s">
        <v>1359</v>
      </c>
      <c r="U625" s="83">
        <v>6.3</v>
      </c>
      <c r="V625" s="296">
        <v>2019</v>
      </c>
    </row>
    <row r="626" spans="1:22" ht="255">
      <c r="A626" s="70">
        <v>183</v>
      </c>
      <c r="B626" s="82" t="s">
        <v>556</v>
      </c>
      <c r="C626" s="24">
        <v>1974</v>
      </c>
      <c r="D626" s="24">
        <v>2013</v>
      </c>
      <c r="E626" s="35" t="s">
        <v>374</v>
      </c>
      <c r="F626" s="24" t="s">
        <v>1077</v>
      </c>
      <c r="G626" s="24">
        <v>1</v>
      </c>
      <c r="H626" s="37">
        <v>3434.07</v>
      </c>
      <c r="I626" s="37">
        <v>2671.87</v>
      </c>
      <c r="J626" s="37">
        <v>2547.53</v>
      </c>
      <c r="K626" s="36">
        <v>160</v>
      </c>
      <c r="L626" s="24" t="s">
        <v>319</v>
      </c>
      <c r="M626" s="37">
        <v>4650177.67</v>
      </c>
      <c r="N626" s="109">
        <v>4650177.67</v>
      </c>
      <c r="O626" s="109">
        <f t="shared" si="50"/>
        <v>0</v>
      </c>
      <c r="P626" s="109"/>
      <c r="Q626" s="37">
        <v>4650177.67</v>
      </c>
      <c r="R626" s="37">
        <f t="shared" si="49"/>
        <v>1740.4206304947472</v>
      </c>
      <c r="S626" s="29">
        <v>14736.15</v>
      </c>
      <c r="T626" s="24" t="s">
        <v>1359</v>
      </c>
      <c r="U626" s="83">
        <v>6.3</v>
      </c>
      <c r="V626" s="296">
        <v>2019</v>
      </c>
    </row>
    <row r="627" spans="1:22" ht="255">
      <c r="A627" s="70">
        <v>184</v>
      </c>
      <c r="B627" s="82" t="s">
        <v>557</v>
      </c>
      <c r="C627" s="24">
        <v>1975</v>
      </c>
      <c r="D627" s="24"/>
      <c r="E627" s="24" t="s">
        <v>494</v>
      </c>
      <c r="F627" s="24" t="s">
        <v>1077</v>
      </c>
      <c r="G627" s="24">
        <v>6</v>
      </c>
      <c r="H627" s="37">
        <v>13150.1</v>
      </c>
      <c r="I627" s="37">
        <v>11680.1</v>
      </c>
      <c r="J627" s="37">
        <v>11072.7</v>
      </c>
      <c r="K627" s="36">
        <v>570</v>
      </c>
      <c r="L627" s="24" t="s">
        <v>320</v>
      </c>
      <c r="M627" s="37">
        <v>13933554.31</v>
      </c>
      <c r="N627" s="109">
        <v>13933554.31</v>
      </c>
      <c r="O627" s="109">
        <f t="shared" si="50"/>
        <v>0</v>
      </c>
      <c r="P627" s="109"/>
      <c r="Q627" s="37">
        <v>13933554.31</v>
      </c>
      <c r="R627" s="37">
        <f t="shared" si="49"/>
        <v>1192.9310802133543</v>
      </c>
      <c r="S627" s="29">
        <v>14736.15</v>
      </c>
      <c r="T627" s="24" t="s">
        <v>1359</v>
      </c>
      <c r="U627" s="83">
        <v>6.3</v>
      </c>
      <c r="V627" s="296">
        <v>2019</v>
      </c>
    </row>
    <row r="628" spans="1:22" ht="165">
      <c r="A628" s="70">
        <v>185</v>
      </c>
      <c r="B628" s="82" t="s">
        <v>1446</v>
      </c>
      <c r="C628" s="24">
        <v>1979</v>
      </c>
      <c r="D628" s="24">
        <v>2005</v>
      </c>
      <c r="E628" s="24" t="s">
        <v>494</v>
      </c>
      <c r="F628" s="24" t="s">
        <v>1073</v>
      </c>
      <c r="G628" s="24">
        <v>6</v>
      </c>
      <c r="H628" s="37">
        <v>5078.2</v>
      </c>
      <c r="I628" s="37">
        <v>4544.2</v>
      </c>
      <c r="J628" s="37">
        <v>4118.1</v>
      </c>
      <c r="K628" s="36">
        <v>262</v>
      </c>
      <c r="L628" s="24" t="s">
        <v>517</v>
      </c>
      <c r="M628" s="37">
        <v>3493666.98</v>
      </c>
      <c r="N628" s="109">
        <v>3493666.98</v>
      </c>
      <c r="O628" s="109">
        <f t="shared" si="50"/>
        <v>0</v>
      </c>
      <c r="P628" s="109"/>
      <c r="Q628" s="37">
        <v>3493666.98</v>
      </c>
      <c r="R628" s="37">
        <f t="shared" si="49"/>
        <v>768.8189296245764</v>
      </c>
      <c r="S628" s="29">
        <v>14736.15</v>
      </c>
      <c r="T628" s="24" t="s">
        <v>1359</v>
      </c>
      <c r="U628" s="83">
        <v>6.3</v>
      </c>
      <c r="V628" s="296">
        <v>2019</v>
      </c>
    </row>
    <row r="629" spans="1:22" ht="119.25" customHeight="1">
      <c r="A629" s="70">
        <v>186</v>
      </c>
      <c r="B629" s="82" t="s">
        <v>1447</v>
      </c>
      <c r="C629" s="24">
        <v>1979</v>
      </c>
      <c r="D629" s="24"/>
      <c r="E629" s="24" t="s">
        <v>374</v>
      </c>
      <c r="F629" s="24" t="s">
        <v>1073</v>
      </c>
      <c r="G629" s="24">
        <v>1</v>
      </c>
      <c r="H629" s="37">
        <v>4293.48</v>
      </c>
      <c r="I629" s="37">
        <v>4180.29</v>
      </c>
      <c r="J629" s="37">
        <v>4064.01</v>
      </c>
      <c r="K629" s="36">
        <v>183</v>
      </c>
      <c r="L629" s="24" t="s">
        <v>771</v>
      </c>
      <c r="M629" s="37">
        <v>2523470.09</v>
      </c>
      <c r="N629" s="109">
        <v>2523470.0900000003</v>
      </c>
      <c r="O629" s="109">
        <f t="shared" si="50"/>
        <v>0</v>
      </c>
      <c r="P629" s="109"/>
      <c r="Q629" s="37">
        <v>2523470.09</v>
      </c>
      <c r="R629" s="37">
        <f t="shared" si="49"/>
        <v>603.659097813788</v>
      </c>
      <c r="S629" s="29">
        <v>14736.15</v>
      </c>
      <c r="T629" s="24" t="s">
        <v>1359</v>
      </c>
      <c r="U629" s="83">
        <v>6.3</v>
      </c>
      <c r="V629" s="296">
        <v>2019</v>
      </c>
    </row>
    <row r="630" spans="1:22" ht="45">
      <c r="A630" s="70">
        <v>187</v>
      </c>
      <c r="B630" s="82" t="s">
        <v>688</v>
      </c>
      <c r="C630" s="24">
        <v>1976</v>
      </c>
      <c r="D630" s="24">
        <v>2015</v>
      </c>
      <c r="E630" s="35" t="s">
        <v>374</v>
      </c>
      <c r="F630" s="24" t="s">
        <v>1077</v>
      </c>
      <c r="G630" s="24">
        <v>1</v>
      </c>
      <c r="H630" s="37">
        <v>6100.52</v>
      </c>
      <c r="I630" s="37">
        <v>5544.87</v>
      </c>
      <c r="J630" s="37">
        <v>4921.27</v>
      </c>
      <c r="K630" s="36">
        <v>390</v>
      </c>
      <c r="L630" s="24" t="s">
        <v>497</v>
      </c>
      <c r="M630" s="37">
        <v>1504534.32</v>
      </c>
      <c r="N630" s="109">
        <v>1504534.32</v>
      </c>
      <c r="O630" s="109">
        <f t="shared" si="50"/>
        <v>0</v>
      </c>
      <c r="P630" s="109"/>
      <c r="Q630" s="37">
        <v>1504534.32</v>
      </c>
      <c r="R630" s="37">
        <f t="shared" si="49"/>
        <v>271.3380692423808</v>
      </c>
      <c r="S630" s="29">
        <v>14736.15</v>
      </c>
      <c r="T630" s="24" t="s">
        <v>1359</v>
      </c>
      <c r="U630" s="83">
        <v>6.3</v>
      </c>
      <c r="V630" s="296">
        <v>2019</v>
      </c>
    </row>
    <row r="631" spans="1:22" ht="75">
      <c r="A631" s="70">
        <v>188</v>
      </c>
      <c r="B631" s="82" t="s">
        <v>689</v>
      </c>
      <c r="C631" s="24">
        <v>1979</v>
      </c>
      <c r="D631" s="24"/>
      <c r="E631" s="35" t="s">
        <v>374</v>
      </c>
      <c r="F631" s="24" t="s">
        <v>1073</v>
      </c>
      <c r="G631" s="24">
        <v>2</v>
      </c>
      <c r="H631" s="37">
        <v>4158.32</v>
      </c>
      <c r="I631" s="37">
        <v>3693.9</v>
      </c>
      <c r="J631" s="37">
        <v>3385.1</v>
      </c>
      <c r="K631" s="36">
        <v>294</v>
      </c>
      <c r="L631" s="24" t="s">
        <v>367</v>
      </c>
      <c r="M631" s="37">
        <v>4800589.44</v>
      </c>
      <c r="N631" s="109">
        <v>4800589.44</v>
      </c>
      <c r="O631" s="109">
        <f t="shared" si="50"/>
        <v>0</v>
      </c>
      <c r="P631" s="109"/>
      <c r="Q631" s="37">
        <v>4800589.44</v>
      </c>
      <c r="R631" s="37">
        <f t="shared" si="49"/>
        <v>1299.5991878502396</v>
      </c>
      <c r="S631" s="29">
        <v>14736.15</v>
      </c>
      <c r="T631" s="24" t="s">
        <v>1359</v>
      </c>
      <c r="U631" s="83">
        <v>6.3</v>
      </c>
      <c r="V631" s="296">
        <v>2019</v>
      </c>
    </row>
    <row r="632" spans="1:22" ht="45">
      <c r="A632" s="70">
        <v>189</v>
      </c>
      <c r="B632" s="82" t="s">
        <v>690</v>
      </c>
      <c r="C632" s="24">
        <v>1961</v>
      </c>
      <c r="D632" s="24"/>
      <c r="E632" s="35" t="s">
        <v>374</v>
      </c>
      <c r="F632" s="24" t="s">
        <v>1073</v>
      </c>
      <c r="G632" s="24">
        <v>4</v>
      </c>
      <c r="H632" s="37">
        <v>3576.22</v>
      </c>
      <c r="I632" s="37">
        <v>3270.22</v>
      </c>
      <c r="J632" s="37">
        <v>3153.62</v>
      </c>
      <c r="K632" s="36">
        <v>168</v>
      </c>
      <c r="L632" s="24" t="s">
        <v>489</v>
      </c>
      <c r="M632" s="37">
        <v>3150530.43</v>
      </c>
      <c r="N632" s="109">
        <v>3150530.43</v>
      </c>
      <c r="O632" s="109">
        <f t="shared" si="50"/>
        <v>0</v>
      </c>
      <c r="P632" s="109"/>
      <c r="Q632" s="37">
        <v>3150530.43</v>
      </c>
      <c r="R632" s="37">
        <f t="shared" si="49"/>
        <v>963.4001473906956</v>
      </c>
      <c r="S632" s="29">
        <v>14736.15</v>
      </c>
      <c r="T632" s="24" t="s">
        <v>1359</v>
      </c>
      <c r="U632" s="83">
        <v>6.3</v>
      </c>
      <c r="V632" s="296">
        <v>2019</v>
      </c>
    </row>
    <row r="633" spans="1:22" ht="165">
      <c r="A633" s="70">
        <v>190</v>
      </c>
      <c r="B633" s="82" t="s">
        <v>691</v>
      </c>
      <c r="C633" s="24">
        <v>1962</v>
      </c>
      <c r="D633" s="24"/>
      <c r="E633" s="35" t="s">
        <v>374</v>
      </c>
      <c r="F633" s="24" t="s">
        <v>1072</v>
      </c>
      <c r="G633" s="24">
        <v>2</v>
      </c>
      <c r="H633" s="37">
        <v>1376.7</v>
      </c>
      <c r="I633" s="37">
        <v>1279.7</v>
      </c>
      <c r="J633" s="37">
        <v>1279.7</v>
      </c>
      <c r="K633" s="36">
        <v>61</v>
      </c>
      <c r="L633" s="24" t="s">
        <v>1542</v>
      </c>
      <c r="M633" s="37">
        <v>2829386.38</v>
      </c>
      <c r="N633" s="109">
        <v>2829386.38</v>
      </c>
      <c r="O633" s="109">
        <f t="shared" si="50"/>
        <v>0</v>
      </c>
      <c r="P633" s="109"/>
      <c r="Q633" s="37">
        <v>2829386.38</v>
      </c>
      <c r="R633" s="37">
        <f t="shared" si="49"/>
        <v>2210.9763069469404</v>
      </c>
      <c r="S633" s="29">
        <v>14736.15</v>
      </c>
      <c r="T633" s="24" t="s">
        <v>1359</v>
      </c>
      <c r="U633" s="83">
        <v>6.3</v>
      </c>
      <c r="V633" s="296">
        <v>2019</v>
      </c>
    </row>
    <row r="634" spans="1:22" ht="60">
      <c r="A634" s="70">
        <v>191</v>
      </c>
      <c r="B634" s="82" t="s">
        <v>692</v>
      </c>
      <c r="C634" s="24">
        <v>1962</v>
      </c>
      <c r="D634" s="24"/>
      <c r="E634" s="35" t="s">
        <v>374</v>
      </c>
      <c r="F634" s="24" t="s">
        <v>1072</v>
      </c>
      <c r="G634" s="24">
        <v>3</v>
      </c>
      <c r="H634" s="37">
        <v>2348.8</v>
      </c>
      <c r="I634" s="37">
        <v>2096.8</v>
      </c>
      <c r="J634" s="37">
        <v>1984.7</v>
      </c>
      <c r="K634" s="36">
        <v>62</v>
      </c>
      <c r="L634" s="24" t="s">
        <v>511</v>
      </c>
      <c r="M634" s="37">
        <v>3579320.84</v>
      </c>
      <c r="N634" s="109">
        <v>3579320.84</v>
      </c>
      <c r="O634" s="109">
        <f t="shared" si="50"/>
        <v>0</v>
      </c>
      <c r="P634" s="109"/>
      <c r="Q634" s="37">
        <v>3579320.84</v>
      </c>
      <c r="R634" s="37">
        <f t="shared" si="49"/>
        <v>1707.0396985883249</v>
      </c>
      <c r="S634" s="29">
        <v>14736.15</v>
      </c>
      <c r="T634" s="24" t="s">
        <v>1359</v>
      </c>
      <c r="U634" s="83">
        <v>6.3</v>
      </c>
      <c r="V634" s="296">
        <v>2019</v>
      </c>
    </row>
    <row r="635" spans="1:22" ht="45">
      <c r="A635" s="70">
        <v>192</v>
      </c>
      <c r="B635" s="82" t="s">
        <v>693</v>
      </c>
      <c r="C635" s="24">
        <v>1962</v>
      </c>
      <c r="D635" s="24"/>
      <c r="E635" s="35" t="s">
        <v>374</v>
      </c>
      <c r="F635" s="24" t="s">
        <v>1073</v>
      </c>
      <c r="G635" s="24">
        <v>3</v>
      </c>
      <c r="H635" s="37">
        <v>2959.89</v>
      </c>
      <c r="I635" s="37">
        <v>2750.89</v>
      </c>
      <c r="J635" s="37">
        <v>2346.55</v>
      </c>
      <c r="K635" s="36">
        <v>136</v>
      </c>
      <c r="L635" s="24" t="s">
        <v>497</v>
      </c>
      <c r="M635" s="37">
        <v>2632408.14</v>
      </c>
      <c r="N635" s="109">
        <v>2632408.14</v>
      </c>
      <c r="O635" s="109">
        <f t="shared" si="50"/>
        <v>0</v>
      </c>
      <c r="P635" s="109"/>
      <c r="Q635" s="37">
        <v>2632408.14</v>
      </c>
      <c r="R635" s="37">
        <f t="shared" si="49"/>
        <v>956.9296264118159</v>
      </c>
      <c r="S635" s="29">
        <v>14736.15</v>
      </c>
      <c r="T635" s="24" t="s">
        <v>1359</v>
      </c>
      <c r="U635" s="83">
        <v>6.3</v>
      </c>
      <c r="V635" s="296">
        <v>2019</v>
      </c>
    </row>
    <row r="636" spans="1:22" ht="255">
      <c r="A636" s="70">
        <v>193</v>
      </c>
      <c r="B636" s="82" t="s">
        <v>694</v>
      </c>
      <c r="C636" s="24">
        <v>1962</v>
      </c>
      <c r="D636" s="24"/>
      <c r="E636" s="35" t="s">
        <v>374</v>
      </c>
      <c r="F636" s="24" t="s">
        <v>1073</v>
      </c>
      <c r="G636" s="24">
        <v>3</v>
      </c>
      <c r="H636" s="37">
        <v>2390</v>
      </c>
      <c r="I636" s="37">
        <v>2157.5</v>
      </c>
      <c r="J636" s="37">
        <v>1997.2</v>
      </c>
      <c r="K636" s="36">
        <v>118</v>
      </c>
      <c r="L636" s="24" t="s">
        <v>368</v>
      </c>
      <c r="M636" s="37">
        <v>3820595.87</v>
      </c>
      <c r="N636" s="109">
        <v>3820595.87</v>
      </c>
      <c r="O636" s="109">
        <f t="shared" si="50"/>
        <v>0</v>
      </c>
      <c r="P636" s="109"/>
      <c r="Q636" s="37">
        <v>3820595.87</v>
      </c>
      <c r="R636" s="37">
        <f t="shared" si="49"/>
        <v>1770.8439721900347</v>
      </c>
      <c r="S636" s="29">
        <v>14736.15</v>
      </c>
      <c r="T636" s="24" t="s">
        <v>1359</v>
      </c>
      <c r="U636" s="83">
        <v>6.3</v>
      </c>
      <c r="V636" s="296">
        <v>2019</v>
      </c>
    </row>
    <row r="637" spans="1:22" ht="45">
      <c r="A637" s="70">
        <v>194</v>
      </c>
      <c r="B637" s="82" t="s">
        <v>405</v>
      </c>
      <c r="C637" s="24">
        <v>1964</v>
      </c>
      <c r="D637" s="24"/>
      <c r="E637" s="35" t="s">
        <v>374</v>
      </c>
      <c r="F637" s="24" t="s">
        <v>1073</v>
      </c>
      <c r="G637" s="24">
        <v>3</v>
      </c>
      <c r="H637" s="37">
        <v>2692.9</v>
      </c>
      <c r="I637" s="37">
        <v>2467.9</v>
      </c>
      <c r="J637" s="37">
        <v>2212.8</v>
      </c>
      <c r="K637" s="36">
        <v>138</v>
      </c>
      <c r="L637" s="24" t="s">
        <v>497</v>
      </c>
      <c r="M637" s="37">
        <v>2232597.71</v>
      </c>
      <c r="N637" s="109">
        <v>2232597.71</v>
      </c>
      <c r="O637" s="109">
        <f t="shared" si="50"/>
        <v>0</v>
      </c>
      <c r="P637" s="109"/>
      <c r="Q637" s="37">
        <v>2232597.71</v>
      </c>
      <c r="R637" s="37">
        <f t="shared" si="49"/>
        <v>904.6548523035779</v>
      </c>
      <c r="S637" s="29">
        <v>14736.15</v>
      </c>
      <c r="T637" s="24" t="s">
        <v>1359</v>
      </c>
      <c r="U637" s="83">
        <v>6.3</v>
      </c>
      <c r="V637" s="296">
        <v>2019</v>
      </c>
    </row>
    <row r="638" spans="1:22" ht="135">
      <c r="A638" s="70">
        <v>195</v>
      </c>
      <c r="B638" s="82" t="s">
        <v>510</v>
      </c>
      <c r="C638" s="24">
        <v>1978</v>
      </c>
      <c r="D638" s="24">
        <v>2013</v>
      </c>
      <c r="E638" s="24" t="s">
        <v>494</v>
      </c>
      <c r="F638" s="24" t="s">
        <v>1077</v>
      </c>
      <c r="G638" s="24">
        <v>5</v>
      </c>
      <c r="H638" s="37">
        <v>11025.58</v>
      </c>
      <c r="I638" s="37">
        <v>9788.02</v>
      </c>
      <c r="J638" s="37">
        <v>9087.98</v>
      </c>
      <c r="K638" s="36">
        <v>502</v>
      </c>
      <c r="L638" s="24" t="s">
        <v>1543</v>
      </c>
      <c r="M638" s="37">
        <v>9490385.09</v>
      </c>
      <c r="N638" s="109">
        <v>9490385.09</v>
      </c>
      <c r="O638" s="109">
        <f t="shared" si="50"/>
        <v>0</v>
      </c>
      <c r="P638" s="109"/>
      <c r="Q638" s="37">
        <v>9490385.09</v>
      </c>
      <c r="R638" s="37">
        <f t="shared" si="49"/>
        <v>969.5919184881109</v>
      </c>
      <c r="S638" s="29">
        <v>14736.15</v>
      </c>
      <c r="T638" s="24" t="s">
        <v>1359</v>
      </c>
      <c r="U638" s="83">
        <v>6.3</v>
      </c>
      <c r="V638" s="296">
        <v>2019</v>
      </c>
    </row>
    <row r="639" spans="1:22" ht="165">
      <c r="A639" s="70">
        <v>196</v>
      </c>
      <c r="B639" s="82" t="s">
        <v>1448</v>
      </c>
      <c r="C639" s="24">
        <v>1974</v>
      </c>
      <c r="D639" s="24">
        <v>2013</v>
      </c>
      <c r="E639" s="35" t="s">
        <v>374</v>
      </c>
      <c r="F639" s="24" t="s">
        <v>1070</v>
      </c>
      <c r="G639" s="24">
        <v>1</v>
      </c>
      <c r="H639" s="37">
        <v>5157.4</v>
      </c>
      <c r="I639" s="37">
        <v>4765.7</v>
      </c>
      <c r="J639" s="37">
        <v>4234.64</v>
      </c>
      <c r="K639" s="36">
        <v>198</v>
      </c>
      <c r="L639" s="24" t="s">
        <v>322</v>
      </c>
      <c r="M639" s="37">
        <v>4596360.87</v>
      </c>
      <c r="N639" s="109">
        <v>4596360.87</v>
      </c>
      <c r="O639" s="109">
        <f t="shared" si="50"/>
        <v>0</v>
      </c>
      <c r="P639" s="109"/>
      <c r="Q639" s="37">
        <v>4596360.87</v>
      </c>
      <c r="R639" s="37">
        <f t="shared" si="49"/>
        <v>964.4671024193718</v>
      </c>
      <c r="S639" s="29">
        <v>14736.15</v>
      </c>
      <c r="T639" s="24" t="s">
        <v>1359</v>
      </c>
      <c r="U639" s="83">
        <v>6.3</v>
      </c>
      <c r="V639" s="296">
        <v>2019</v>
      </c>
    </row>
    <row r="640" spans="1:22" ht="45">
      <c r="A640" s="70">
        <v>197</v>
      </c>
      <c r="B640" s="82" t="s">
        <v>1449</v>
      </c>
      <c r="C640" s="24">
        <v>1979</v>
      </c>
      <c r="D640" s="24">
        <v>2013</v>
      </c>
      <c r="E640" s="24" t="s">
        <v>494</v>
      </c>
      <c r="F640" s="24" t="s">
        <v>1077</v>
      </c>
      <c r="G640" s="24">
        <v>2</v>
      </c>
      <c r="H640" s="37">
        <v>4428.3</v>
      </c>
      <c r="I640" s="37">
        <v>3928.3</v>
      </c>
      <c r="J640" s="37">
        <v>3928.3</v>
      </c>
      <c r="K640" s="36">
        <v>175</v>
      </c>
      <c r="L640" s="24" t="s">
        <v>1346</v>
      </c>
      <c r="M640" s="37">
        <v>3693224.2</v>
      </c>
      <c r="N640" s="109">
        <v>3693224.2</v>
      </c>
      <c r="O640" s="109">
        <f t="shared" si="50"/>
        <v>0</v>
      </c>
      <c r="P640" s="109"/>
      <c r="Q640" s="37">
        <v>3693224.2</v>
      </c>
      <c r="R640" s="37">
        <f t="shared" si="49"/>
        <v>940.1583891250668</v>
      </c>
      <c r="S640" s="29">
        <v>14736.15</v>
      </c>
      <c r="T640" s="24" t="s">
        <v>1359</v>
      </c>
      <c r="U640" s="83">
        <v>6.3</v>
      </c>
      <c r="V640" s="296">
        <v>2019</v>
      </c>
    </row>
    <row r="641" spans="1:22" ht="255">
      <c r="A641" s="70">
        <v>198</v>
      </c>
      <c r="B641" s="82" t="s">
        <v>1450</v>
      </c>
      <c r="C641" s="24">
        <v>1976</v>
      </c>
      <c r="D641" s="24">
        <v>2011</v>
      </c>
      <c r="E641" s="24" t="s">
        <v>494</v>
      </c>
      <c r="F641" s="24" t="s">
        <v>1073</v>
      </c>
      <c r="G641" s="24">
        <v>7</v>
      </c>
      <c r="H641" s="37">
        <v>5935.6</v>
      </c>
      <c r="I641" s="37">
        <v>5326.6</v>
      </c>
      <c r="J641" s="37">
        <v>4928.1</v>
      </c>
      <c r="K641" s="36">
        <v>283</v>
      </c>
      <c r="L641" s="24" t="s">
        <v>323</v>
      </c>
      <c r="M641" s="37">
        <v>15143701.49</v>
      </c>
      <c r="N641" s="109">
        <v>15143701.49</v>
      </c>
      <c r="O641" s="109">
        <f t="shared" si="50"/>
        <v>0</v>
      </c>
      <c r="P641" s="109"/>
      <c r="Q641" s="37">
        <v>15143701.49</v>
      </c>
      <c r="R641" s="37">
        <f t="shared" si="49"/>
        <v>2843.0333589907254</v>
      </c>
      <c r="S641" s="29">
        <v>14736.15</v>
      </c>
      <c r="T641" s="24" t="s">
        <v>1359</v>
      </c>
      <c r="U641" s="83">
        <v>6.3</v>
      </c>
      <c r="V641" s="296">
        <v>2019</v>
      </c>
    </row>
    <row r="642" spans="1:22" ht="45">
      <c r="A642" s="70">
        <v>199</v>
      </c>
      <c r="B642" s="82" t="s">
        <v>1624</v>
      </c>
      <c r="C642" s="24">
        <v>1980</v>
      </c>
      <c r="D642" s="24">
        <v>2012</v>
      </c>
      <c r="E642" s="35" t="s">
        <v>374</v>
      </c>
      <c r="F642" s="24" t="s">
        <v>1073</v>
      </c>
      <c r="G642" s="24">
        <v>6</v>
      </c>
      <c r="H642" s="37">
        <v>4980.86</v>
      </c>
      <c r="I642" s="37">
        <v>4482.86</v>
      </c>
      <c r="J642" s="37">
        <v>3969.52</v>
      </c>
      <c r="K642" s="36">
        <v>224</v>
      </c>
      <c r="L642" s="24" t="s">
        <v>704</v>
      </c>
      <c r="M642" s="37">
        <v>1015471.92</v>
      </c>
      <c r="N642" s="109">
        <v>1015471.92</v>
      </c>
      <c r="O642" s="109">
        <f t="shared" si="50"/>
        <v>0</v>
      </c>
      <c r="P642" s="109"/>
      <c r="Q642" s="37">
        <v>1015471.92</v>
      </c>
      <c r="R642" s="37">
        <f t="shared" si="49"/>
        <v>226.52322847467914</v>
      </c>
      <c r="S642" s="29">
        <v>14736.15</v>
      </c>
      <c r="T642" s="24" t="s">
        <v>1359</v>
      </c>
      <c r="U642" s="83">
        <v>6.3</v>
      </c>
      <c r="V642" s="296">
        <v>2019</v>
      </c>
    </row>
    <row r="643" spans="1:22" ht="120">
      <c r="A643" s="70">
        <v>200</v>
      </c>
      <c r="B643" s="82" t="s">
        <v>330</v>
      </c>
      <c r="C643" s="24">
        <v>1977</v>
      </c>
      <c r="D643" s="24">
        <v>2012</v>
      </c>
      <c r="E643" s="35" t="s">
        <v>374</v>
      </c>
      <c r="F643" s="24" t="s">
        <v>1073</v>
      </c>
      <c r="G643" s="24">
        <v>1</v>
      </c>
      <c r="H643" s="37">
        <v>4895.94</v>
      </c>
      <c r="I643" s="37">
        <v>3584.04</v>
      </c>
      <c r="J643" s="37">
        <v>3072.06</v>
      </c>
      <c r="K643" s="36">
        <v>311</v>
      </c>
      <c r="L643" s="24" t="s">
        <v>579</v>
      </c>
      <c r="M643" s="37">
        <v>3560386.29</v>
      </c>
      <c r="N643" s="109">
        <v>3560386.29</v>
      </c>
      <c r="O643" s="109">
        <f t="shared" si="50"/>
        <v>0</v>
      </c>
      <c r="P643" s="109"/>
      <c r="Q643" s="37">
        <v>3560386.29</v>
      </c>
      <c r="R643" s="37">
        <f t="shared" si="49"/>
        <v>993.4002661800649</v>
      </c>
      <c r="S643" s="29">
        <v>14736.15</v>
      </c>
      <c r="T643" s="24" t="s">
        <v>1359</v>
      </c>
      <c r="U643" s="83">
        <v>6.3</v>
      </c>
      <c r="V643" s="296">
        <v>2019</v>
      </c>
    </row>
    <row r="644" spans="1:22" ht="45">
      <c r="A644" s="70">
        <v>201</v>
      </c>
      <c r="B644" s="82" t="s">
        <v>1451</v>
      </c>
      <c r="C644" s="24">
        <v>1962</v>
      </c>
      <c r="D644" s="24"/>
      <c r="E644" s="35" t="s">
        <v>374</v>
      </c>
      <c r="F644" s="24" t="s">
        <v>1072</v>
      </c>
      <c r="G644" s="24">
        <v>4</v>
      </c>
      <c r="H644" s="37">
        <v>3224.2</v>
      </c>
      <c r="I644" s="37">
        <v>2952.4</v>
      </c>
      <c r="J644" s="37">
        <v>2501.6</v>
      </c>
      <c r="K644" s="36">
        <v>154</v>
      </c>
      <c r="L644" s="24" t="s">
        <v>497</v>
      </c>
      <c r="M644" s="37">
        <v>3001890.18</v>
      </c>
      <c r="N644" s="109">
        <v>3001890.18</v>
      </c>
      <c r="O644" s="109">
        <f t="shared" si="50"/>
        <v>0</v>
      </c>
      <c r="P644" s="109"/>
      <c r="Q644" s="37">
        <v>3001890.18</v>
      </c>
      <c r="R644" s="37">
        <f t="shared" si="49"/>
        <v>1016.7626947568081</v>
      </c>
      <c r="S644" s="29">
        <v>14736.15</v>
      </c>
      <c r="T644" s="24" t="s">
        <v>1359</v>
      </c>
      <c r="U644" s="83">
        <v>6.3</v>
      </c>
      <c r="V644" s="296">
        <v>2019</v>
      </c>
    </row>
    <row r="645" spans="1:22" ht="165">
      <c r="A645" s="70">
        <v>202</v>
      </c>
      <c r="B645" s="82" t="s">
        <v>1452</v>
      </c>
      <c r="C645" s="24">
        <v>1962</v>
      </c>
      <c r="D645" s="24"/>
      <c r="E645" s="35" t="s">
        <v>374</v>
      </c>
      <c r="F645" s="24" t="s">
        <v>1072</v>
      </c>
      <c r="G645" s="24">
        <v>3</v>
      </c>
      <c r="H645" s="37">
        <v>2234.2</v>
      </c>
      <c r="I645" s="37">
        <v>2012.2</v>
      </c>
      <c r="J645" s="37">
        <v>1831</v>
      </c>
      <c r="K645" s="36">
        <v>72</v>
      </c>
      <c r="L645" s="24" t="s">
        <v>96</v>
      </c>
      <c r="M645" s="37">
        <v>3616690.34</v>
      </c>
      <c r="N645" s="109">
        <v>3616690.34</v>
      </c>
      <c r="O645" s="109">
        <f t="shared" si="50"/>
        <v>0</v>
      </c>
      <c r="P645" s="109"/>
      <c r="Q645" s="37">
        <v>3616690.34</v>
      </c>
      <c r="R645" s="37">
        <f t="shared" si="49"/>
        <v>1797.381145015406</v>
      </c>
      <c r="S645" s="29">
        <v>14736.15</v>
      </c>
      <c r="T645" s="24" t="s">
        <v>1359</v>
      </c>
      <c r="U645" s="83">
        <v>6.3</v>
      </c>
      <c r="V645" s="296">
        <v>2019</v>
      </c>
    </row>
    <row r="646" spans="1:22" ht="45">
      <c r="A646" s="70">
        <v>203</v>
      </c>
      <c r="B646" s="82" t="s">
        <v>1453</v>
      </c>
      <c r="C646" s="24">
        <v>1965</v>
      </c>
      <c r="D646" s="24">
        <v>2011</v>
      </c>
      <c r="E646" s="35" t="s">
        <v>374</v>
      </c>
      <c r="F646" s="24" t="s">
        <v>1073</v>
      </c>
      <c r="G646" s="24">
        <v>4</v>
      </c>
      <c r="H646" s="37">
        <v>3375.4</v>
      </c>
      <c r="I646" s="37">
        <v>3145.4</v>
      </c>
      <c r="J646" s="37">
        <v>2807.8</v>
      </c>
      <c r="K646" s="36">
        <v>205</v>
      </c>
      <c r="L646" s="24" t="s">
        <v>72</v>
      </c>
      <c r="M646" s="37">
        <v>547604</v>
      </c>
      <c r="N646" s="109">
        <v>547604</v>
      </c>
      <c r="O646" s="109">
        <f t="shared" si="50"/>
        <v>0</v>
      </c>
      <c r="P646" s="109"/>
      <c r="Q646" s="37">
        <v>547604</v>
      </c>
      <c r="R646" s="37">
        <f t="shared" si="49"/>
        <v>174.09677624467477</v>
      </c>
      <c r="S646" s="29">
        <v>14736.15</v>
      </c>
      <c r="T646" s="24" t="s">
        <v>1359</v>
      </c>
      <c r="U646" s="83">
        <v>6.3</v>
      </c>
      <c r="V646" s="296">
        <v>2019</v>
      </c>
    </row>
    <row r="647" spans="1:22" ht="45">
      <c r="A647" s="70">
        <v>204</v>
      </c>
      <c r="B647" s="82" t="s">
        <v>331</v>
      </c>
      <c r="C647" s="24">
        <v>1975</v>
      </c>
      <c r="D647" s="24">
        <v>2012</v>
      </c>
      <c r="E647" s="35" t="s">
        <v>374</v>
      </c>
      <c r="F647" s="24" t="s">
        <v>1077</v>
      </c>
      <c r="G647" s="24">
        <v>2</v>
      </c>
      <c r="H647" s="37">
        <v>5927.8</v>
      </c>
      <c r="I647" s="37">
        <v>5357.3</v>
      </c>
      <c r="J647" s="37">
        <v>4839.22</v>
      </c>
      <c r="K647" s="36">
        <v>233</v>
      </c>
      <c r="L647" s="24" t="s">
        <v>496</v>
      </c>
      <c r="M647" s="37">
        <v>3193939.51</v>
      </c>
      <c r="N647" s="109">
        <v>3193939.51</v>
      </c>
      <c r="O647" s="109">
        <f t="shared" si="50"/>
        <v>0</v>
      </c>
      <c r="P647" s="109"/>
      <c r="Q647" s="37">
        <v>3193939.51</v>
      </c>
      <c r="R647" s="37">
        <f t="shared" si="49"/>
        <v>596.1845537864222</v>
      </c>
      <c r="S647" s="29">
        <v>14736.15</v>
      </c>
      <c r="T647" s="24" t="s">
        <v>1359</v>
      </c>
      <c r="U647" s="83">
        <v>6.3</v>
      </c>
      <c r="V647" s="296">
        <v>2019</v>
      </c>
    </row>
    <row r="648" spans="1:22" ht="45">
      <c r="A648" s="70">
        <v>205</v>
      </c>
      <c r="B648" s="82" t="s">
        <v>332</v>
      </c>
      <c r="C648" s="24">
        <v>1952</v>
      </c>
      <c r="D648" s="24">
        <v>2014</v>
      </c>
      <c r="E648" s="35" t="s">
        <v>374</v>
      </c>
      <c r="F648" s="24" t="s">
        <v>1072</v>
      </c>
      <c r="G648" s="24">
        <v>3</v>
      </c>
      <c r="H648" s="37">
        <v>2963.74</v>
      </c>
      <c r="I648" s="37">
        <v>2728.84</v>
      </c>
      <c r="J648" s="37">
        <v>2500.65</v>
      </c>
      <c r="K648" s="36">
        <v>107</v>
      </c>
      <c r="L648" s="24" t="s">
        <v>497</v>
      </c>
      <c r="M648" s="37">
        <v>3390482.35</v>
      </c>
      <c r="N648" s="109">
        <v>3390482.35</v>
      </c>
      <c r="O648" s="109">
        <f t="shared" si="50"/>
        <v>0</v>
      </c>
      <c r="P648" s="109"/>
      <c r="Q648" s="37">
        <v>3390482.35</v>
      </c>
      <c r="R648" s="37">
        <f t="shared" si="49"/>
        <v>1242.462859676639</v>
      </c>
      <c r="S648" s="29">
        <v>14736.15</v>
      </c>
      <c r="T648" s="24" t="s">
        <v>1359</v>
      </c>
      <c r="U648" s="83">
        <v>6.3</v>
      </c>
      <c r="V648" s="296">
        <v>2019</v>
      </c>
    </row>
    <row r="649" spans="1:22" ht="105">
      <c r="A649" s="70">
        <v>206</v>
      </c>
      <c r="B649" s="82" t="s">
        <v>242</v>
      </c>
      <c r="C649" s="24">
        <v>1940</v>
      </c>
      <c r="D649" s="24"/>
      <c r="E649" s="35" t="s">
        <v>374</v>
      </c>
      <c r="F649" s="24" t="s">
        <v>1074</v>
      </c>
      <c r="G649" s="24">
        <v>3</v>
      </c>
      <c r="H649" s="37">
        <v>1794.7</v>
      </c>
      <c r="I649" s="37">
        <v>1616.7</v>
      </c>
      <c r="J649" s="37">
        <v>1451</v>
      </c>
      <c r="K649" s="36">
        <v>44</v>
      </c>
      <c r="L649" s="24" t="s">
        <v>1146</v>
      </c>
      <c r="M649" s="37">
        <v>3709064.57</v>
      </c>
      <c r="N649" s="109">
        <v>3709064.5700000003</v>
      </c>
      <c r="O649" s="109">
        <f t="shared" si="50"/>
        <v>0</v>
      </c>
      <c r="P649" s="109"/>
      <c r="Q649" s="37">
        <v>3709064.57</v>
      </c>
      <c r="R649" s="37">
        <f t="shared" si="49"/>
        <v>2294.219440836271</v>
      </c>
      <c r="S649" s="29">
        <v>14736.15</v>
      </c>
      <c r="T649" s="24" t="s">
        <v>1359</v>
      </c>
      <c r="U649" s="83">
        <v>6.3</v>
      </c>
      <c r="V649" s="296">
        <v>2019</v>
      </c>
    </row>
    <row r="650" spans="1:22" ht="45">
      <c r="A650" s="70">
        <v>207</v>
      </c>
      <c r="B650" s="82" t="s">
        <v>243</v>
      </c>
      <c r="C650" s="24">
        <v>1965</v>
      </c>
      <c r="D650" s="24">
        <v>2015</v>
      </c>
      <c r="E650" s="35" t="s">
        <v>374</v>
      </c>
      <c r="F650" s="24" t="s">
        <v>1073</v>
      </c>
      <c r="G650" s="24">
        <v>2</v>
      </c>
      <c r="H650" s="37">
        <v>1868.6</v>
      </c>
      <c r="I650" s="37">
        <v>1577.2</v>
      </c>
      <c r="J650" s="37">
        <v>1577.2</v>
      </c>
      <c r="K650" s="36">
        <v>82</v>
      </c>
      <c r="L650" s="24" t="s">
        <v>497</v>
      </c>
      <c r="M650" s="37">
        <v>1489711.31</v>
      </c>
      <c r="N650" s="109">
        <v>1489711.31</v>
      </c>
      <c r="O650" s="109">
        <f t="shared" si="50"/>
        <v>0</v>
      </c>
      <c r="P650" s="109"/>
      <c r="Q650" s="37">
        <v>1489711.31</v>
      </c>
      <c r="R650" s="37">
        <f t="shared" si="49"/>
        <v>944.5291085467918</v>
      </c>
      <c r="S650" s="29">
        <v>14736.15</v>
      </c>
      <c r="T650" s="24" t="s">
        <v>1359</v>
      </c>
      <c r="U650" s="83">
        <v>6.3</v>
      </c>
      <c r="V650" s="296">
        <v>2019</v>
      </c>
    </row>
    <row r="651" spans="1:22" ht="45">
      <c r="A651" s="70">
        <v>208</v>
      </c>
      <c r="B651" s="82" t="s">
        <v>244</v>
      </c>
      <c r="C651" s="24">
        <v>1964</v>
      </c>
      <c r="D651" s="24">
        <v>2009</v>
      </c>
      <c r="E651" s="35" t="s">
        <v>374</v>
      </c>
      <c r="F651" s="24" t="s">
        <v>1072</v>
      </c>
      <c r="G651" s="24">
        <v>2</v>
      </c>
      <c r="H651" s="37">
        <v>1446.5</v>
      </c>
      <c r="I651" s="37">
        <v>1248.5</v>
      </c>
      <c r="J651" s="37">
        <v>1194.3</v>
      </c>
      <c r="K651" s="36">
        <v>49</v>
      </c>
      <c r="L651" s="24" t="s">
        <v>345</v>
      </c>
      <c r="M651" s="37">
        <v>2986912.46</v>
      </c>
      <c r="N651" s="109">
        <v>2986912.46</v>
      </c>
      <c r="O651" s="109">
        <f t="shared" si="50"/>
        <v>0</v>
      </c>
      <c r="P651" s="109"/>
      <c r="Q651" s="37">
        <v>2986912.46</v>
      </c>
      <c r="R651" s="37">
        <f t="shared" si="49"/>
        <v>2392.4008490188226</v>
      </c>
      <c r="S651" s="29">
        <v>14736.15</v>
      </c>
      <c r="T651" s="24" t="s">
        <v>1359</v>
      </c>
      <c r="U651" s="83">
        <v>6.3</v>
      </c>
      <c r="V651" s="296">
        <v>2019</v>
      </c>
    </row>
    <row r="652" spans="1:22" ht="45">
      <c r="A652" s="70">
        <v>209</v>
      </c>
      <c r="B652" s="82" t="s">
        <v>1454</v>
      </c>
      <c r="C652" s="24">
        <v>1962</v>
      </c>
      <c r="D652" s="24">
        <v>2009</v>
      </c>
      <c r="E652" s="35" t="s">
        <v>374</v>
      </c>
      <c r="F652" s="24" t="s">
        <v>1072</v>
      </c>
      <c r="G652" s="24">
        <v>4</v>
      </c>
      <c r="H652" s="37">
        <v>2971.3</v>
      </c>
      <c r="I652" s="37">
        <v>2730.8</v>
      </c>
      <c r="J652" s="37">
        <v>2178.3</v>
      </c>
      <c r="K652" s="36">
        <v>154</v>
      </c>
      <c r="L652" s="24" t="s">
        <v>497</v>
      </c>
      <c r="M652" s="37">
        <v>3311931.9</v>
      </c>
      <c r="N652" s="109">
        <v>3311931.9</v>
      </c>
      <c r="O652" s="109">
        <f t="shared" si="50"/>
        <v>0</v>
      </c>
      <c r="P652" s="109"/>
      <c r="Q652" s="37">
        <v>3311931.9</v>
      </c>
      <c r="R652" s="37">
        <f t="shared" si="49"/>
        <v>1212.806466969386</v>
      </c>
      <c r="S652" s="29">
        <v>14736.15</v>
      </c>
      <c r="T652" s="24" t="s">
        <v>1359</v>
      </c>
      <c r="U652" s="83">
        <v>6.3</v>
      </c>
      <c r="V652" s="296">
        <v>2019</v>
      </c>
    </row>
    <row r="653" spans="1:22" ht="45">
      <c r="A653" s="70">
        <v>210</v>
      </c>
      <c r="B653" s="82" t="s">
        <v>1455</v>
      </c>
      <c r="C653" s="24">
        <v>1963</v>
      </c>
      <c r="D653" s="24">
        <v>2008</v>
      </c>
      <c r="E653" s="35" t="s">
        <v>374</v>
      </c>
      <c r="F653" s="24" t="s">
        <v>1072</v>
      </c>
      <c r="G653" s="24">
        <v>3</v>
      </c>
      <c r="H653" s="37">
        <v>1597.3</v>
      </c>
      <c r="I653" s="37">
        <v>1450.8</v>
      </c>
      <c r="J653" s="37">
        <v>1104.92</v>
      </c>
      <c r="K653" s="36">
        <v>111</v>
      </c>
      <c r="L653" s="24" t="s">
        <v>497</v>
      </c>
      <c r="M653" s="37">
        <v>1965207.39</v>
      </c>
      <c r="N653" s="109">
        <v>1965207.39</v>
      </c>
      <c r="O653" s="109">
        <f t="shared" si="50"/>
        <v>0</v>
      </c>
      <c r="P653" s="109"/>
      <c r="Q653" s="37">
        <v>1965207.39</v>
      </c>
      <c r="R653" s="37">
        <f t="shared" si="49"/>
        <v>1354.568093465674</v>
      </c>
      <c r="S653" s="29">
        <v>14736.15</v>
      </c>
      <c r="T653" s="24" t="s">
        <v>1359</v>
      </c>
      <c r="U653" s="83">
        <v>6.3</v>
      </c>
      <c r="V653" s="296">
        <v>2019</v>
      </c>
    </row>
    <row r="654" spans="1:22" ht="165">
      <c r="A654" s="70">
        <v>211</v>
      </c>
      <c r="B654" s="82" t="s">
        <v>1456</v>
      </c>
      <c r="C654" s="24">
        <v>1963</v>
      </c>
      <c r="D654" s="24">
        <v>2015</v>
      </c>
      <c r="E654" s="35" t="s">
        <v>374</v>
      </c>
      <c r="F654" s="24" t="s">
        <v>1072</v>
      </c>
      <c r="G654" s="24">
        <v>2</v>
      </c>
      <c r="H654" s="37">
        <v>1377.1</v>
      </c>
      <c r="I654" s="37">
        <v>1254.7</v>
      </c>
      <c r="J654" s="37">
        <v>1160.4</v>
      </c>
      <c r="K654" s="36">
        <v>78</v>
      </c>
      <c r="L654" s="24" t="s">
        <v>580</v>
      </c>
      <c r="M654" s="37">
        <v>2882163.78</v>
      </c>
      <c r="N654" s="109">
        <v>2882163.7800000003</v>
      </c>
      <c r="O654" s="109">
        <f t="shared" si="50"/>
        <v>0</v>
      </c>
      <c r="P654" s="109"/>
      <c r="Q654" s="37">
        <v>2882163.78</v>
      </c>
      <c r="R654" s="37">
        <f t="shared" si="49"/>
        <v>2297.0939507451976</v>
      </c>
      <c r="S654" s="29">
        <v>14736.15</v>
      </c>
      <c r="T654" s="24" t="s">
        <v>1359</v>
      </c>
      <c r="U654" s="83">
        <v>6.3</v>
      </c>
      <c r="V654" s="296">
        <v>2019</v>
      </c>
    </row>
    <row r="655" spans="1:22" ht="120">
      <c r="A655" s="70">
        <v>212</v>
      </c>
      <c r="B655" s="82" t="s">
        <v>1457</v>
      </c>
      <c r="C655" s="24">
        <v>1961</v>
      </c>
      <c r="D655" s="24">
        <v>2015</v>
      </c>
      <c r="E655" s="35" t="s">
        <v>374</v>
      </c>
      <c r="F655" s="24" t="s">
        <v>1072</v>
      </c>
      <c r="G655" s="24">
        <v>2</v>
      </c>
      <c r="H655" s="37">
        <v>1485.46</v>
      </c>
      <c r="I655" s="37">
        <v>1266.56</v>
      </c>
      <c r="J655" s="37">
        <v>1052.33</v>
      </c>
      <c r="K655" s="36">
        <v>45</v>
      </c>
      <c r="L655" s="24" t="s">
        <v>1148</v>
      </c>
      <c r="M655" s="37">
        <v>2334715.42</v>
      </c>
      <c r="N655" s="109">
        <v>2334715.42</v>
      </c>
      <c r="O655" s="109">
        <f t="shared" si="50"/>
        <v>0</v>
      </c>
      <c r="P655" s="109"/>
      <c r="Q655" s="37">
        <v>2334715.42</v>
      </c>
      <c r="R655" s="37">
        <f t="shared" si="49"/>
        <v>1843.3516138201112</v>
      </c>
      <c r="S655" s="29">
        <v>14736.15</v>
      </c>
      <c r="T655" s="24" t="s">
        <v>1359</v>
      </c>
      <c r="U655" s="83">
        <v>6.3</v>
      </c>
      <c r="V655" s="296">
        <v>2019</v>
      </c>
    </row>
    <row r="656" spans="1:22" ht="165">
      <c r="A656" s="70">
        <v>213</v>
      </c>
      <c r="B656" s="82" t="s">
        <v>1458</v>
      </c>
      <c r="C656" s="24">
        <v>1963</v>
      </c>
      <c r="D656" s="24"/>
      <c r="E656" s="35" t="s">
        <v>374</v>
      </c>
      <c r="F656" s="24" t="s">
        <v>1072</v>
      </c>
      <c r="G656" s="24">
        <v>2</v>
      </c>
      <c r="H656" s="37">
        <v>1681.1</v>
      </c>
      <c r="I656" s="37">
        <v>1561.1</v>
      </c>
      <c r="J656" s="37">
        <v>1519.7</v>
      </c>
      <c r="K656" s="36">
        <v>42</v>
      </c>
      <c r="L656" s="24" t="s">
        <v>91</v>
      </c>
      <c r="M656" s="37">
        <v>2254483.45</v>
      </c>
      <c r="N656" s="109">
        <v>2254483.45</v>
      </c>
      <c r="O656" s="109">
        <f t="shared" si="50"/>
        <v>0</v>
      </c>
      <c r="P656" s="109"/>
      <c r="Q656" s="37">
        <v>2254483.45</v>
      </c>
      <c r="R656" s="37">
        <f t="shared" si="49"/>
        <v>1444.163378387035</v>
      </c>
      <c r="S656" s="29">
        <v>14736.15</v>
      </c>
      <c r="T656" s="24" t="s">
        <v>1359</v>
      </c>
      <c r="U656" s="83">
        <v>6.3</v>
      </c>
      <c r="V656" s="296">
        <v>2019</v>
      </c>
    </row>
    <row r="657" spans="1:22" ht="45">
      <c r="A657" s="70">
        <v>214</v>
      </c>
      <c r="B657" s="82" t="s">
        <v>761</v>
      </c>
      <c r="C657" s="24">
        <v>1964</v>
      </c>
      <c r="D657" s="24"/>
      <c r="E657" s="35" t="s">
        <v>374</v>
      </c>
      <c r="F657" s="24" t="s">
        <v>1073</v>
      </c>
      <c r="G657" s="24">
        <v>3</v>
      </c>
      <c r="H657" s="37">
        <v>3096.31</v>
      </c>
      <c r="I657" s="37">
        <v>2675.61</v>
      </c>
      <c r="J657" s="37">
        <v>2468.56</v>
      </c>
      <c r="K657" s="36">
        <v>114</v>
      </c>
      <c r="L657" s="24" t="s">
        <v>384</v>
      </c>
      <c r="M657" s="37">
        <v>997889.34</v>
      </c>
      <c r="N657" s="109">
        <v>997889.34</v>
      </c>
      <c r="O657" s="109">
        <f t="shared" si="50"/>
        <v>0</v>
      </c>
      <c r="P657" s="109"/>
      <c r="Q657" s="37">
        <v>997889.34</v>
      </c>
      <c r="R657" s="37">
        <f t="shared" si="49"/>
        <v>372.9576956282866</v>
      </c>
      <c r="S657" s="29">
        <v>14736.15</v>
      </c>
      <c r="T657" s="24" t="s">
        <v>1359</v>
      </c>
      <c r="U657" s="83">
        <v>6.3</v>
      </c>
      <c r="V657" s="296">
        <v>2019</v>
      </c>
    </row>
    <row r="658" spans="1:22" ht="45">
      <c r="A658" s="70">
        <v>215</v>
      </c>
      <c r="B658" s="82" t="s">
        <v>311</v>
      </c>
      <c r="C658" s="24">
        <v>1965</v>
      </c>
      <c r="D658" s="24"/>
      <c r="E658" s="35" t="s">
        <v>374</v>
      </c>
      <c r="F658" s="24" t="s">
        <v>1072</v>
      </c>
      <c r="G658" s="24">
        <v>3</v>
      </c>
      <c r="H658" s="37">
        <v>2152.84</v>
      </c>
      <c r="I658" s="37">
        <v>1972.84</v>
      </c>
      <c r="J658" s="37">
        <v>1645.6</v>
      </c>
      <c r="K658" s="36">
        <v>131</v>
      </c>
      <c r="L658" s="24" t="s">
        <v>384</v>
      </c>
      <c r="M658" s="37">
        <v>967773.71</v>
      </c>
      <c r="N658" s="109">
        <v>967773.71</v>
      </c>
      <c r="O658" s="109">
        <f t="shared" si="50"/>
        <v>0</v>
      </c>
      <c r="P658" s="109"/>
      <c r="Q658" s="37">
        <v>967773.71</v>
      </c>
      <c r="R658" s="37">
        <f t="shared" si="49"/>
        <v>490.54850367997403</v>
      </c>
      <c r="S658" s="29">
        <v>14736.15</v>
      </c>
      <c r="T658" s="24" t="s">
        <v>1359</v>
      </c>
      <c r="U658" s="83">
        <v>6.3</v>
      </c>
      <c r="V658" s="296">
        <v>2019</v>
      </c>
    </row>
    <row r="659" spans="1:22" ht="105">
      <c r="A659" s="70">
        <v>216</v>
      </c>
      <c r="B659" s="82" t="s">
        <v>1580</v>
      </c>
      <c r="C659" s="24">
        <v>1961</v>
      </c>
      <c r="D659" s="24"/>
      <c r="E659" s="35" t="s">
        <v>374</v>
      </c>
      <c r="F659" s="24" t="s">
        <v>1074</v>
      </c>
      <c r="G659" s="24">
        <v>2</v>
      </c>
      <c r="H659" s="37">
        <v>950.4</v>
      </c>
      <c r="I659" s="37">
        <v>802.4</v>
      </c>
      <c r="J659" s="37">
        <v>747.9</v>
      </c>
      <c r="K659" s="36">
        <v>43</v>
      </c>
      <c r="L659" s="24" t="s">
        <v>1146</v>
      </c>
      <c r="M659" s="37">
        <v>1143011.43</v>
      </c>
      <c r="N659" s="109">
        <v>1143011.43</v>
      </c>
      <c r="O659" s="109">
        <f t="shared" si="50"/>
        <v>0</v>
      </c>
      <c r="P659" s="109"/>
      <c r="Q659" s="37">
        <v>1143011.43</v>
      </c>
      <c r="R659" s="37">
        <f t="shared" si="49"/>
        <v>1424.4908150548354</v>
      </c>
      <c r="S659" s="29">
        <v>14736.15</v>
      </c>
      <c r="T659" s="24" t="s">
        <v>1359</v>
      </c>
      <c r="U659" s="83">
        <v>6.3</v>
      </c>
      <c r="V659" s="296">
        <v>2019</v>
      </c>
    </row>
    <row r="660" spans="1:22" ht="150">
      <c r="A660" s="70">
        <v>217</v>
      </c>
      <c r="B660" s="82" t="s">
        <v>1149</v>
      </c>
      <c r="C660" s="24">
        <v>1962</v>
      </c>
      <c r="D660" s="24"/>
      <c r="E660" s="35" t="s">
        <v>374</v>
      </c>
      <c r="F660" s="24" t="s">
        <v>1074</v>
      </c>
      <c r="G660" s="24">
        <v>2</v>
      </c>
      <c r="H660" s="37">
        <v>1024.8</v>
      </c>
      <c r="I660" s="37">
        <v>951.8</v>
      </c>
      <c r="J660" s="37">
        <v>951.8</v>
      </c>
      <c r="K660" s="36">
        <v>34</v>
      </c>
      <c r="L660" s="24" t="s">
        <v>581</v>
      </c>
      <c r="M660" s="37">
        <v>1183630.07</v>
      </c>
      <c r="N660" s="109">
        <v>1183630.07</v>
      </c>
      <c r="O660" s="109">
        <f t="shared" si="50"/>
        <v>0</v>
      </c>
      <c r="P660" s="109"/>
      <c r="Q660" s="37">
        <v>1183630.07</v>
      </c>
      <c r="R660" s="37">
        <f t="shared" si="49"/>
        <v>1243.5701512922885</v>
      </c>
      <c r="S660" s="29">
        <v>14736.15</v>
      </c>
      <c r="T660" s="24" t="s">
        <v>1359</v>
      </c>
      <c r="U660" s="83">
        <v>6.3</v>
      </c>
      <c r="V660" s="296">
        <v>2019</v>
      </c>
    </row>
    <row r="661" spans="1:22" ht="45">
      <c r="A661" s="70">
        <v>218</v>
      </c>
      <c r="B661" s="82" t="s">
        <v>333</v>
      </c>
      <c r="C661" s="24">
        <v>1963</v>
      </c>
      <c r="D661" s="24">
        <v>2008</v>
      </c>
      <c r="E661" s="35" t="s">
        <v>374</v>
      </c>
      <c r="F661" s="24" t="s">
        <v>1072</v>
      </c>
      <c r="G661" s="24">
        <v>4</v>
      </c>
      <c r="H661" s="37">
        <v>2649.96</v>
      </c>
      <c r="I661" s="37">
        <v>2494.96</v>
      </c>
      <c r="J661" s="37">
        <v>2354.3</v>
      </c>
      <c r="K661" s="36">
        <v>124</v>
      </c>
      <c r="L661" s="24" t="s">
        <v>701</v>
      </c>
      <c r="M661" s="37">
        <v>1743874.89</v>
      </c>
      <c r="N661" s="109">
        <v>1743874.89</v>
      </c>
      <c r="O661" s="109">
        <f t="shared" si="50"/>
        <v>0</v>
      </c>
      <c r="P661" s="109"/>
      <c r="Q661" s="37">
        <v>1743874.89</v>
      </c>
      <c r="R661" s="37">
        <f t="shared" si="49"/>
        <v>698.959057459839</v>
      </c>
      <c r="S661" s="29">
        <v>14736.15</v>
      </c>
      <c r="T661" s="24" t="s">
        <v>1359</v>
      </c>
      <c r="U661" s="83">
        <v>6.3</v>
      </c>
      <c r="V661" s="296">
        <v>2019</v>
      </c>
    </row>
    <row r="662" spans="1:22" ht="165">
      <c r="A662" s="70">
        <v>219</v>
      </c>
      <c r="B662" s="82" t="s">
        <v>1382</v>
      </c>
      <c r="C662" s="24">
        <v>1947</v>
      </c>
      <c r="D662" s="24">
        <v>2011</v>
      </c>
      <c r="E662" s="35" t="s">
        <v>374</v>
      </c>
      <c r="F662" s="24" t="s">
        <v>1074</v>
      </c>
      <c r="G662" s="24">
        <v>1</v>
      </c>
      <c r="H662" s="37">
        <v>1126.8</v>
      </c>
      <c r="I662" s="37">
        <v>1032.3</v>
      </c>
      <c r="J662" s="37">
        <v>768.1</v>
      </c>
      <c r="K662" s="36">
        <v>26</v>
      </c>
      <c r="L662" s="24" t="s">
        <v>582</v>
      </c>
      <c r="M662" s="37">
        <v>2475652.22</v>
      </c>
      <c r="N662" s="109">
        <v>2475652.2199999997</v>
      </c>
      <c r="O662" s="109">
        <f t="shared" si="50"/>
        <v>0</v>
      </c>
      <c r="P662" s="109"/>
      <c r="Q662" s="37">
        <v>2475652.22</v>
      </c>
      <c r="R662" s="37">
        <f t="shared" si="49"/>
        <v>2398.190661629372</v>
      </c>
      <c r="S662" s="29">
        <v>14736.15</v>
      </c>
      <c r="T662" s="24" t="s">
        <v>1359</v>
      </c>
      <c r="U662" s="83">
        <v>6.3</v>
      </c>
      <c r="V662" s="296">
        <v>2019</v>
      </c>
    </row>
    <row r="663" spans="1:22" ht="90">
      <c r="A663" s="70">
        <v>220</v>
      </c>
      <c r="B663" s="82" t="s">
        <v>334</v>
      </c>
      <c r="C663" s="24">
        <v>1979</v>
      </c>
      <c r="D663" s="24"/>
      <c r="E663" s="24" t="s">
        <v>494</v>
      </c>
      <c r="F663" s="24" t="s">
        <v>1077</v>
      </c>
      <c r="G663" s="24">
        <v>4</v>
      </c>
      <c r="H663" s="37">
        <v>8871</v>
      </c>
      <c r="I663" s="37">
        <v>7874</v>
      </c>
      <c r="J663" s="37">
        <v>7076.19</v>
      </c>
      <c r="K663" s="36">
        <v>384</v>
      </c>
      <c r="L663" s="24" t="s">
        <v>1544</v>
      </c>
      <c r="M663" s="37">
        <v>6143516.51</v>
      </c>
      <c r="N663" s="109">
        <v>6143516.51</v>
      </c>
      <c r="O663" s="109">
        <f t="shared" si="50"/>
        <v>0</v>
      </c>
      <c r="P663" s="109"/>
      <c r="Q663" s="37">
        <v>6143516.51</v>
      </c>
      <c r="R663" s="37">
        <f t="shared" si="49"/>
        <v>780.2281572263145</v>
      </c>
      <c r="S663" s="29">
        <v>14736.15</v>
      </c>
      <c r="T663" s="24" t="s">
        <v>1359</v>
      </c>
      <c r="U663" s="83">
        <v>6.3</v>
      </c>
      <c r="V663" s="296">
        <v>2019</v>
      </c>
    </row>
    <row r="664" spans="1:22" ht="165">
      <c r="A664" s="70">
        <v>221</v>
      </c>
      <c r="B664" s="82" t="s">
        <v>1459</v>
      </c>
      <c r="C664" s="24">
        <v>1964</v>
      </c>
      <c r="D664" s="24"/>
      <c r="E664" s="35" t="s">
        <v>374</v>
      </c>
      <c r="F664" s="24" t="s">
        <v>1073</v>
      </c>
      <c r="G664" s="24">
        <v>4</v>
      </c>
      <c r="H664" s="37">
        <v>3396</v>
      </c>
      <c r="I664" s="37">
        <v>3100</v>
      </c>
      <c r="J664" s="37">
        <v>2580</v>
      </c>
      <c r="K664" s="36">
        <v>175</v>
      </c>
      <c r="L664" s="24" t="s">
        <v>91</v>
      </c>
      <c r="M664" s="37">
        <v>6432891.08</v>
      </c>
      <c r="N664" s="109">
        <v>6432891.08</v>
      </c>
      <c r="O664" s="109">
        <f t="shared" si="50"/>
        <v>0</v>
      </c>
      <c r="P664" s="109"/>
      <c r="Q664" s="37">
        <v>6432891.08</v>
      </c>
      <c r="R664" s="37">
        <f t="shared" si="49"/>
        <v>2075.1261548387097</v>
      </c>
      <c r="S664" s="29">
        <v>14736.15</v>
      </c>
      <c r="T664" s="24" t="s">
        <v>1359</v>
      </c>
      <c r="U664" s="83">
        <v>6.3</v>
      </c>
      <c r="V664" s="296">
        <v>2019</v>
      </c>
    </row>
    <row r="665" spans="1:22" ht="165">
      <c r="A665" s="70">
        <v>222</v>
      </c>
      <c r="B665" s="82" t="s">
        <v>1460</v>
      </c>
      <c r="C665" s="24">
        <v>1964</v>
      </c>
      <c r="D665" s="24"/>
      <c r="E665" s="35" t="s">
        <v>374</v>
      </c>
      <c r="F665" s="24" t="s">
        <v>1073</v>
      </c>
      <c r="G665" s="24">
        <v>2</v>
      </c>
      <c r="H665" s="37">
        <v>1726.7</v>
      </c>
      <c r="I665" s="37">
        <v>1579.7</v>
      </c>
      <c r="J665" s="37">
        <v>1325.9</v>
      </c>
      <c r="K665" s="36">
        <v>93</v>
      </c>
      <c r="L665" s="24" t="s">
        <v>1570</v>
      </c>
      <c r="M665" s="37">
        <v>4078117.77</v>
      </c>
      <c r="N665" s="109">
        <v>4078117.77</v>
      </c>
      <c r="O665" s="109">
        <f t="shared" si="50"/>
        <v>0</v>
      </c>
      <c r="P665" s="109"/>
      <c r="Q665" s="37">
        <v>4078117.77</v>
      </c>
      <c r="R665" s="37">
        <f t="shared" si="49"/>
        <v>2581.577369120719</v>
      </c>
      <c r="S665" s="29">
        <v>14736.15</v>
      </c>
      <c r="T665" s="24" t="s">
        <v>1359</v>
      </c>
      <c r="U665" s="83">
        <v>6.3</v>
      </c>
      <c r="V665" s="296">
        <v>2019</v>
      </c>
    </row>
    <row r="666" spans="1:22" ht="90">
      <c r="A666" s="70">
        <v>223</v>
      </c>
      <c r="B666" s="82" t="s">
        <v>335</v>
      </c>
      <c r="C666" s="24">
        <v>1976</v>
      </c>
      <c r="D666" s="24"/>
      <c r="E666" s="24" t="s">
        <v>494</v>
      </c>
      <c r="F666" s="24" t="s">
        <v>1073</v>
      </c>
      <c r="G666" s="24">
        <v>5</v>
      </c>
      <c r="H666" s="37">
        <v>4250.6</v>
      </c>
      <c r="I666" s="37">
        <v>3815.6</v>
      </c>
      <c r="J666" s="37">
        <v>3676.1</v>
      </c>
      <c r="K666" s="36">
        <v>154</v>
      </c>
      <c r="L666" s="24" t="s">
        <v>99</v>
      </c>
      <c r="M666" s="37">
        <v>1923728.81</v>
      </c>
      <c r="N666" s="109">
        <v>1923728.81</v>
      </c>
      <c r="O666" s="109">
        <f t="shared" si="50"/>
        <v>0</v>
      </c>
      <c r="P666" s="109"/>
      <c r="Q666" s="37">
        <v>1923728.81</v>
      </c>
      <c r="R666" s="37">
        <f t="shared" si="49"/>
        <v>504.1746540517874</v>
      </c>
      <c r="S666" s="29">
        <v>14736.15</v>
      </c>
      <c r="T666" s="24" t="s">
        <v>1359</v>
      </c>
      <c r="U666" s="83">
        <v>6.3</v>
      </c>
      <c r="V666" s="296">
        <v>2019</v>
      </c>
    </row>
    <row r="667" spans="1:22" ht="165">
      <c r="A667" s="70">
        <v>224</v>
      </c>
      <c r="B667" s="82" t="s">
        <v>1384</v>
      </c>
      <c r="C667" s="24">
        <v>1962</v>
      </c>
      <c r="D667" s="24"/>
      <c r="E667" s="35" t="s">
        <v>374</v>
      </c>
      <c r="F667" s="24" t="s">
        <v>1072</v>
      </c>
      <c r="G667" s="24">
        <v>3</v>
      </c>
      <c r="H667" s="37">
        <v>3249.1</v>
      </c>
      <c r="I667" s="37">
        <v>2780</v>
      </c>
      <c r="J667" s="37">
        <v>2431.4</v>
      </c>
      <c r="K667" s="36">
        <v>90</v>
      </c>
      <c r="L667" s="24" t="s">
        <v>1571</v>
      </c>
      <c r="M667" s="37">
        <v>4758331.21</v>
      </c>
      <c r="N667" s="109">
        <v>4758331.21</v>
      </c>
      <c r="O667" s="109">
        <f t="shared" si="50"/>
        <v>0</v>
      </c>
      <c r="P667" s="109"/>
      <c r="Q667" s="37">
        <v>4758331.21</v>
      </c>
      <c r="R667" s="37">
        <f t="shared" si="49"/>
        <v>1711.6299316546763</v>
      </c>
      <c r="S667" s="29">
        <v>14736.15</v>
      </c>
      <c r="T667" s="24" t="s">
        <v>1359</v>
      </c>
      <c r="U667" s="83">
        <v>6.3</v>
      </c>
      <c r="V667" s="296">
        <v>2019</v>
      </c>
    </row>
    <row r="668" spans="1:22" ht="135">
      <c r="A668" s="70">
        <v>225</v>
      </c>
      <c r="B668" s="82" t="s">
        <v>336</v>
      </c>
      <c r="C668" s="24">
        <v>1962</v>
      </c>
      <c r="D668" s="24"/>
      <c r="E668" s="35" t="s">
        <v>374</v>
      </c>
      <c r="F668" s="24" t="s">
        <v>1073</v>
      </c>
      <c r="G668" s="24">
        <v>2</v>
      </c>
      <c r="H668" s="37">
        <v>1220.3</v>
      </c>
      <c r="I668" s="37">
        <v>1113.6</v>
      </c>
      <c r="J668" s="37">
        <v>1072.1</v>
      </c>
      <c r="K668" s="36">
        <v>33</v>
      </c>
      <c r="L668" s="24" t="s">
        <v>508</v>
      </c>
      <c r="M668" s="37">
        <v>2676039.7</v>
      </c>
      <c r="N668" s="109">
        <v>2676039.7</v>
      </c>
      <c r="O668" s="109">
        <f t="shared" si="50"/>
        <v>0</v>
      </c>
      <c r="P668" s="109"/>
      <c r="Q668" s="37">
        <v>2676039.7</v>
      </c>
      <c r="R668" s="37">
        <f t="shared" si="49"/>
        <v>2403.052891522989</v>
      </c>
      <c r="S668" s="29">
        <v>14736.15</v>
      </c>
      <c r="T668" s="24" t="s">
        <v>1359</v>
      </c>
      <c r="U668" s="83">
        <v>6.3</v>
      </c>
      <c r="V668" s="296">
        <v>2019</v>
      </c>
    </row>
    <row r="669" spans="1:22" ht="45">
      <c r="A669" s="70">
        <v>226</v>
      </c>
      <c r="B669" s="82" t="s">
        <v>337</v>
      </c>
      <c r="C669" s="24">
        <v>1971</v>
      </c>
      <c r="D669" s="24">
        <v>2012</v>
      </c>
      <c r="E669" s="35" t="s">
        <v>374</v>
      </c>
      <c r="F669" s="24" t="s">
        <v>1073</v>
      </c>
      <c r="G669" s="24">
        <v>4</v>
      </c>
      <c r="H669" s="37">
        <v>4684.5</v>
      </c>
      <c r="I669" s="37">
        <v>4079.5</v>
      </c>
      <c r="J669" s="37">
        <v>1846.8</v>
      </c>
      <c r="K669" s="36">
        <v>171</v>
      </c>
      <c r="L669" s="24" t="s">
        <v>704</v>
      </c>
      <c r="M669" s="37">
        <v>555164.12</v>
      </c>
      <c r="N669" s="109">
        <v>555164.12</v>
      </c>
      <c r="O669" s="109">
        <f t="shared" si="50"/>
        <v>0</v>
      </c>
      <c r="P669" s="109"/>
      <c r="Q669" s="37">
        <v>555164.12</v>
      </c>
      <c r="R669" s="37">
        <f t="shared" si="49"/>
        <v>136.0863144993259</v>
      </c>
      <c r="S669" s="29">
        <v>14736.15</v>
      </c>
      <c r="T669" s="24" t="s">
        <v>1359</v>
      </c>
      <c r="U669" s="83">
        <v>6.3</v>
      </c>
      <c r="V669" s="296">
        <v>2019</v>
      </c>
    </row>
    <row r="670" spans="1:22" ht="45">
      <c r="A670" s="70">
        <v>227</v>
      </c>
      <c r="B670" s="82" t="s">
        <v>338</v>
      </c>
      <c r="C670" s="24">
        <v>1973</v>
      </c>
      <c r="D670" s="24">
        <v>2012</v>
      </c>
      <c r="E670" s="35" t="s">
        <v>374</v>
      </c>
      <c r="F670" s="24" t="s">
        <v>1073</v>
      </c>
      <c r="G670" s="24">
        <v>7</v>
      </c>
      <c r="H670" s="37">
        <v>7426.93</v>
      </c>
      <c r="I670" s="37">
        <v>6727.53</v>
      </c>
      <c r="J670" s="37">
        <v>5782.83</v>
      </c>
      <c r="K670" s="36">
        <v>312</v>
      </c>
      <c r="L670" s="24" t="s">
        <v>298</v>
      </c>
      <c r="M670" s="37">
        <v>3731596.35</v>
      </c>
      <c r="N670" s="109">
        <v>3731596.35</v>
      </c>
      <c r="O670" s="109">
        <f t="shared" si="50"/>
        <v>0</v>
      </c>
      <c r="P670" s="109"/>
      <c r="Q670" s="37">
        <v>3731596.35</v>
      </c>
      <c r="R670" s="37">
        <f t="shared" si="49"/>
        <v>554.6755421380507</v>
      </c>
      <c r="S670" s="29">
        <v>14736.15</v>
      </c>
      <c r="T670" s="24" t="s">
        <v>1359</v>
      </c>
      <c r="U670" s="83">
        <v>6.3</v>
      </c>
      <c r="V670" s="296">
        <v>2019</v>
      </c>
    </row>
    <row r="671" spans="1:22" ht="195">
      <c r="A671" s="70">
        <v>228</v>
      </c>
      <c r="B671" s="82" t="s">
        <v>339</v>
      </c>
      <c r="C671" s="24">
        <v>1980</v>
      </c>
      <c r="D671" s="24"/>
      <c r="E671" s="35" t="s">
        <v>374</v>
      </c>
      <c r="F671" s="24" t="s">
        <v>1077</v>
      </c>
      <c r="G671" s="24">
        <v>2</v>
      </c>
      <c r="H671" s="37">
        <v>5770.94</v>
      </c>
      <c r="I671" s="37">
        <v>5368.94</v>
      </c>
      <c r="J671" s="37">
        <v>4716.36</v>
      </c>
      <c r="K671" s="36">
        <v>397</v>
      </c>
      <c r="L671" s="24" t="s">
        <v>1545</v>
      </c>
      <c r="M671" s="37">
        <v>8088100.73</v>
      </c>
      <c r="N671" s="109">
        <v>8088100.7299999995</v>
      </c>
      <c r="O671" s="109">
        <f t="shared" si="50"/>
        <v>0</v>
      </c>
      <c r="P671" s="109"/>
      <c r="Q671" s="37">
        <v>8088100.73</v>
      </c>
      <c r="R671" s="37">
        <f t="shared" si="49"/>
        <v>1506.4613741259916</v>
      </c>
      <c r="S671" s="29">
        <v>14736.15</v>
      </c>
      <c r="T671" s="24" t="s">
        <v>1359</v>
      </c>
      <c r="U671" s="83">
        <v>6.3</v>
      </c>
      <c r="V671" s="296">
        <v>2019</v>
      </c>
    </row>
    <row r="672" spans="1:22" ht="45">
      <c r="A672" s="70">
        <v>229</v>
      </c>
      <c r="B672" s="82" t="s">
        <v>1461</v>
      </c>
      <c r="C672" s="24">
        <v>1973</v>
      </c>
      <c r="D672" s="24"/>
      <c r="E672" s="35" t="s">
        <v>374</v>
      </c>
      <c r="F672" s="24" t="s">
        <v>1073</v>
      </c>
      <c r="G672" s="24">
        <v>4</v>
      </c>
      <c r="H672" s="37">
        <v>3413.9</v>
      </c>
      <c r="I672" s="37">
        <v>3092.6</v>
      </c>
      <c r="J672" s="37">
        <v>2776.6</v>
      </c>
      <c r="K672" s="36">
        <v>176</v>
      </c>
      <c r="L672" s="24" t="s">
        <v>1069</v>
      </c>
      <c r="M672" s="37">
        <v>2944858.52</v>
      </c>
      <c r="N672" s="109">
        <v>2944858.52</v>
      </c>
      <c r="O672" s="109">
        <f t="shared" si="50"/>
        <v>0</v>
      </c>
      <c r="P672" s="109"/>
      <c r="Q672" s="37">
        <v>2944858.52</v>
      </c>
      <c r="R672" s="37">
        <f aca="true" t="shared" si="51" ref="R672:R734">M672/I672</f>
        <v>952.2274202936042</v>
      </c>
      <c r="S672" s="29">
        <v>14736.15</v>
      </c>
      <c r="T672" s="24" t="s">
        <v>1359</v>
      </c>
      <c r="U672" s="83">
        <v>6.3</v>
      </c>
      <c r="V672" s="296">
        <v>2019</v>
      </c>
    </row>
    <row r="673" spans="1:22" ht="270">
      <c r="A673" s="70">
        <v>230</v>
      </c>
      <c r="B673" s="82" t="s">
        <v>1462</v>
      </c>
      <c r="C673" s="24">
        <v>1979</v>
      </c>
      <c r="D673" s="24"/>
      <c r="E673" s="35" t="s">
        <v>374</v>
      </c>
      <c r="F673" s="24" t="s">
        <v>1077</v>
      </c>
      <c r="G673" s="24">
        <v>1</v>
      </c>
      <c r="H673" s="37">
        <v>5223.32</v>
      </c>
      <c r="I673" s="37">
        <v>4673.32</v>
      </c>
      <c r="J673" s="37">
        <v>4159.12</v>
      </c>
      <c r="K673" s="36">
        <v>385</v>
      </c>
      <c r="L673" s="24" t="s">
        <v>386</v>
      </c>
      <c r="M673" s="37">
        <v>8449564.79</v>
      </c>
      <c r="N673" s="109">
        <v>8449564.79</v>
      </c>
      <c r="O673" s="109">
        <f t="shared" si="50"/>
        <v>0</v>
      </c>
      <c r="P673" s="109"/>
      <c r="Q673" s="37">
        <v>8449564.79</v>
      </c>
      <c r="R673" s="37">
        <f t="shared" si="51"/>
        <v>1808.0432733046314</v>
      </c>
      <c r="S673" s="29">
        <v>14736.15</v>
      </c>
      <c r="T673" s="24" t="s">
        <v>1359</v>
      </c>
      <c r="U673" s="83">
        <v>6.3</v>
      </c>
      <c r="V673" s="296">
        <v>2019</v>
      </c>
    </row>
    <row r="674" spans="1:22" ht="45">
      <c r="A674" s="70">
        <v>231</v>
      </c>
      <c r="B674" s="82" t="s">
        <v>1463</v>
      </c>
      <c r="C674" s="24">
        <v>1974</v>
      </c>
      <c r="D674" s="24">
        <v>2012</v>
      </c>
      <c r="E674" s="24" t="s">
        <v>494</v>
      </c>
      <c r="F674" s="24" t="s">
        <v>1073</v>
      </c>
      <c r="G674" s="24">
        <v>6</v>
      </c>
      <c r="H674" s="37">
        <v>5093.3</v>
      </c>
      <c r="I674" s="37">
        <v>4527.3</v>
      </c>
      <c r="J674" s="37">
        <v>4120.9</v>
      </c>
      <c r="K674" s="36">
        <v>251</v>
      </c>
      <c r="L674" s="24" t="s">
        <v>1159</v>
      </c>
      <c r="M674" s="37">
        <v>4784175.48</v>
      </c>
      <c r="N674" s="109">
        <v>4784175.48</v>
      </c>
      <c r="O674" s="109">
        <f t="shared" si="50"/>
        <v>0</v>
      </c>
      <c r="P674" s="109"/>
      <c r="Q674" s="37">
        <v>4784175.48</v>
      </c>
      <c r="R674" s="37">
        <f t="shared" si="51"/>
        <v>1056.7392220528793</v>
      </c>
      <c r="S674" s="29">
        <v>14736.15</v>
      </c>
      <c r="T674" s="24" t="s">
        <v>1359</v>
      </c>
      <c r="U674" s="83">
        <v>6.3</v>
      </c>
      <c r="V674" s="296">
        <v>2019</v>
      </c>
    </row>
    <row r="675" spans="1:22" ht="45">
      <c r="A675" s="70">
        <v>232</v>
      </c>
      <c r="B675" s="82" t="s">
        <v>1385</v>
      </c>
      <c r="C675" s="24">
        <v>1961</v>
      </c>
      <c r="D675" s="24">
        <v>2008</v>
      </c>
      <c r="E675" s="35" t="s">
        <v>374</v>
      </c>
      <c r="F675" s="24" t="s">
        <v>1072</v>
      </c>
      <c r="G675" s="24">
        <v>3</v>
      </c>
      <c r="H675" s="37">
        <v>2835.78</v>
      </c>
      <c r="I675" s="37">
        <v>2628.78</v>
      </c>
      <c r="J675" s="37">
        <v>2364.1</v>
      </c>
      <c r="K675" s="36">
        <v>181</v>
      </c>
      <c r="L675" s="24" t="s">
        <v>496</v>
      </c>
      <c r="M675" s="37">
        <v>3958966.2</v>
      </c>
      <c r="N675" s="109">
        <v>3958966.2</v>
      </c>
      <c r="O675" s="109">
        <f t="shared" si="50"/>
        <v>0</v>
      </c>
      <c r="P675" s="109"/>
      <c r="Q675" s="37">
        <v>3958966.2</v>
      </c>
      <c r="R675" s="37">
        <f t="shared" si="51"/>
        <v>1506.0089471161527</v>
      </c>
      <c r="S675" s="29">
        <v>14736.15</v>
      </c>
      <c r="T675" s="24" t="s">
        <v>1359</v>
      </c>
      <c r="U675" s="83">
        <v>6.3</v>
      </c>
      <c r="V675" s="296">
        <v>2019</v>
      </c>
    </row>
    <row r="676" spans="1:22" ht="210">
      <c r="A676" s="70">
        <v>233</v>
      </c>
      <c r="B676" s="82" t="s">
        <v>342</v>
      </c>
      <c r="C676" s="24">
        <v>1976</v>
      </c>
      <c r="D676" s="24"/>
      <c r="E676" s="24" t="s">
        <v>494</v>
      </c>
      <c r="F676" s="24" t="s">
        <v>1073</v>
      </c>
      <c r="G676" s="24">
        <v>5</v>
      </c>
      <c r="H676" s="37">
        <v>4217.71</v>
      </c>
      <c r="I676" s="37">
        <v>3790.21</v>
      </c>
      <c r="J676" s="37">
        <v>3295.41</v>
      </c>
      <c r="K676" s="36">
        <v>186</v>
      </c>
      <c r="L676" s="24" t="s">
        <v>1546</v>
      </c>
      <c r="M676" s="37">
        <v>7238188.58</v>
      </c>
      <c r="N676" s="109">
        <v>7238188.58</v>
      </c>
      <c r="O676" s="109">
        <f t="shared" si="50"/>
        <v>0</v>
      </c>
      <c r="P676" s="109"/>
      <c r="Q676" s="37">
        <v>7238188.58</v>
      </c>
      <c r="R676" s="37">
        <f t="shared" si="51"/>
        <v>1909.7064753668003</v>
      </c>
      <c r="S676" s="29">
        <v>14736.15</v>
      </c>
      <c r="T676" s="24" t="s">
        <v>1359</v>
      </c>
      <c r="U676" s="83">
        <v>6.3</v>
      </c>
      <c r="V676" s="296">
        <v>2019</v>
      </c>
    </row>
    <row r="677" spans="1:22" ht="255">
      <c r="A677" s="70">
        <v>234</v>
      </c>
      <c r="B677" s="82" t="s">
        <v>343</v>
      </c>
      <c r="C677" s="24">
        <v>1975</v>
      </c>
      <c r="D677" s="24"/>
      <c r="E677" s="24" t="s">
        <v>494</v>
      </c>
      <c r="F677" s="24" t="s">
        <v>1073</v>
      </c>
      <c r="G677" s="24">
        <v>4</v>
      </c>
      <c r="H677" s="37">
        <v>3425</v>
      </c>
      <c r="I677" s="37">
        <v>3023.2</v>
      </c>
      <c r="J677" s="37">
        <v>2753.1</v>
      </c>
      <c r="K677" s="36">
        <v>153</v>
      </c>
      <c r="L677" s="24" t="s">
        <v>1472</v>
      </c>
      <c r="M677" s="37">
        <v>5864027.48</v>
      </c>
      <c r="N677" s="109">
        <v>5864027.4799999995</v>
      </c>
      <c r="O677" s="109">
        <f t="shared" si="50"/>
        <v>0</v>
      </c>
      <c r="P677" s="109"/>
      <c r="Q677" s="37">
        <v>5864027.48</v>
      </c>
      <c r="R677" s="37">
        <f t="shared" si="51"/>
        <v>1939.6756681661818</v>
      </c>
      <c r="S677" s="29">
        <v>14736.15</v>
      </c>
      <c r="T677" s="24" t="s">
        <v>1359</v>
      </c>
      <c r="U677" s="83">
        <v>6.3</v>
      </c>
      <c r="V677" s="296">
        <v>2019</v>
      </c>
    </row>
    <row r="678" spans="1:22" ht="45">
      <c r="A678" s="70">
        <v>235</v>
      </c>
      <c r="B678" s="82" t="s">
        <v>344</v>
      </c>
      <c r="C678" s="24">
        <v>1978</v>
      </c>
      <c r="D678" s="24"/>
      <c r="E678" s="24" t="s">
        <v>494</v>
      </c>
      <c r="F678" s="24" t="s">
        <v>1077</v>
      </c>
      <c r="G678" s="24">
        <v>4</v>
      </c>
      <c r="H678" s="37">
        <v>8759.9</v>
      </c>
      <c r="I678" s="37">
        <v>7711.8</v>
      </c>
      <c r="J678" s="37">
        <v>7364.4</v>
      </c>
      <c r="K678" s="36">
        <v>424</v>
      </c>
      <c r="L678" s="24" t="s">
        <v>384</v>
      </c>
      <c r="M678" s="37">
        <v>2778844.32</v>
      </c>
      <c r="N678" s="109">
        <v>2778844.32</v>
      </c>
      <c r="O678" s="109">
        <f t="shared" si="50"/>
        <v>0</v>
      </c>
      <c r="P678" s="109"/>
      <c r="Q678" s="37">
        <v>2778844.32</v>
      </c>
      <c r="R678" s="37">
        <f t="shared" si="51"/>
        <v>360.3366684820664</v>
      </c>
      <c r="S678" s="29">
        <v>14736.15</v>
      </c>
      <c r="T678" s="24" t="s">
        <v>1359</v>
      </c>
      <c r="U678" s="83">
        <v>6.3</v>
      </c>
      <c r="V678" s="296">
        <v>2019</v>
      </c>
    </row>
    <row r="679" spans="1:22" ht="150">
      <c r="A679" s="70">
        <v>236</v>
      </c>
      <c r="B679" s="82" t="s">
        <v>1386</v>
      </c>
      <c r="C679" s="24">
        <v>1977</v>
      </c>
      <c r="D679" s="24">
        <v>2012</v>
      </c>
      <c r="E679" s="24" t="s">
        <v>494</v>
      </c>
      <c r="F679" s="24" t="s">
        <v>1077</v>
      </c>
      <c r="G679" s="24">
        <v>4</v>
      </c>
      <c r="H679" s="37">
        <v>8802.85</v>
      </c>
      <c r="I679" s="37">
        <v>7785.65</v>
      </c>
      <c r="J679" s="37">
        <v>7345.7</v>
      </c>
      <c r="K679" s="36">
        <v>369</v>
      </c>
      <c r="L679" s="24" t="s">
        <v>1572</v>
      </c>
      <c r="M679" s="37">
        <v>13416968.08</v>
      </c>
      <c r="N679" s="109">
        <v>13416968.080000002</v>
      </c>
      <c r="O679" s="109">
        <f t="shared" si="50"/>
        <v>0</v>
      </c>
      <c r="P679" s="109"/>
      <c r="Q679" s="37">
        <v>13416968.08</v>
      </c>
      <c r="R679" s="37">
        <f t="shared" si="51"/>
        <v>1723.2945328906387</v>
      </c>
      <c r="S679" s="29">
        <v>14736.15</v>
      </c>
      <c r="T679" s="24" t="s">
        <v>1359</v>
      </c>
      <c r="U679" s="83">
        <v>6.3</v>
      </c>
      <c r="V679" s="296">
        <v>2019</v>
      </c>
    </row>
    <row r="680" spans="1:22" ht="165">
      <c r="A680" s="70">
        <v>237</v>
      </c>
      <c r="B680" s="82" t="s">
        <v>1464</v>
      </c>
      <c r="C680" s="24">
        <v>1962</v>
      </c>
      <c r="D680" s="24"/>
      <c r="E680" s="35" t="s">
        <v>374</v>
      </c>
      <c r="F680" s="24" t="s">
        <v>1072</v>
      </c>
      <c r="G680" s="24">
        <v>4</v>
      </c>
      <c r="H680" s="37">
        <v>2834.7</v>
      </c>
      <c r="I680" s="37">
        <v>2538.7</v>
      </c>
      <c r="J680" s="37">
        <v>2293.9</v>
      </c>
      <c r="K680" s="36">
        <v>133</v>
      </c>
      <c r="L680" s="24" t="s">
        <v>1573</v>
      </c>
      <c r="M680" s="37">
        <v>5162013.76</v>
      </c>
      <c r="N680" s="109">
        <v>5162013.76</v>
      </c>
      <c r="O680" s="109">
        <f t="shared" si="50"/>
        <v>0</v>
      </c>
      <c r="P680" s="109"/>
      <c r="Q680" s="37">
        <v>5162013.76</v>
      </c>
      <c r="R680" s="37">
        <f t="shared" si="51"/>
        <v>2033.3295623744436</v>
      </c>
      <c r="S680" s="29">
        <v>14736.15</v>
      </c>
      <c r="T680" s="24" t="s">
        <v>1359</v>
      </c>
      <c r="U680" s="83">
        <v>6.3</v>
      </c>
      <c r="V680" s="296">
        <v>2019</v>
      </c>
    </row>
    <row r="681" spans="1:22" ht="75">
      <c r="A681" s="70">
        <v>238</v>
      </c>
      <c r="B681" s="82" t="s">
        <v>1465</v>
      </c>
      <c r="C681" s="24">
        <v>1963</v>
      </c>
      <c r="D681" s="24">
        <v>2011</v>
      </c>
      <c r="E681" s="35" t="s">
        <v>374</v>
      </c>
      <c r="F681" s="24" t="s">
        <v>1072</v>
      </c>
      <c r="G681" s="24">
        <v>3</v>
      </c>
      <c r="H681" s="37">
        <v>2129.1</v>
      </c>
      <c r="I681" s="37">
        <v>1953.1</v>
      </c>
      <c r="J681" s="37">
        <v>1731.2</v>
      </c>
      <c r="K681" s="36">
        <v>112</v>
      </c>
      <c r="L681" s="125" t="s">
        <v>1547</v>
      </c>
      <c r="M681" s="37">
        <v>2989554.75</v>
      </c>
      <c r="N681" s="109">
        <v>2989554.75</v>
      </c>
      <c r="O681" s="109">
        <f t="shared" si="50"/>
        <v>0</v>
      </c>
      <c r="P681" s="109"/>
      <c r="Q681" s="37">
        <v>2989554.75</v>
      </c>
      <c r="R681" s="37">
        <f t="shared" si="51"/>
        <v>1530.6716245967948</v>
      </c>
      <c r="S681" s="29">
        <v>14736.15</v>
      </c>
      <c r="T681" s="24" t="s">
        <v>1359</v>
      </c>
      <c r="U681" s="83">
        <v>6.3</v>
      </c>
      <c r="V681" s="296">
        <v>2019</v>
      </c>
    </row>
    <row r="682" spans="1:22" ht="120">
      <c r="A682" s="70">
        <v>239</v>
      </c>
      <c r="B682" s="82" t="s">
        <v>1466</v>
      </c>
      <c r="C682" s="24">
        <v>1959</v>
      </c>
      <c r="D682" s="24"/>
      <c r="E682" s="35" t="s">
        <v>374</v>
      </c>
      <c r="F682" s="24" t="s">
        <v>1074</v>
      </c>
      <c r="G682" s="24">
        <v>2</v>
      </c>
      <c r="H682" s="37">
        <v>835.6</v>
      </c>
      <c r="I682" s="37">
        <v>737.6</v>
      </c>
      <c r="J682" s="37">
        <v>485.2</v>
      </c>
      <c r="K682" s="36">
        <v>70</v>
      </c>
      <c r="L682" s="24" t="s">
        <v>1574</v>
      </c>
      <c r="M682" s="37">
        <v>1670622.82</v>
      </c>
      <c r="N682" s="109">
        <v>1670622.82</v>
      </c>
      <c r="O682" s="109">
        <f t="shared" si="50"/>
        <v>0</v>
      </c>
      <c r="P682" s="109"/>
      <c r="Q682" s="37">
        <v>1670622.82</v>
      </c>
      <c r="R682" s="37">
        <f t="shared" si="51"/>
        <v>2264.944170281996</v>
      </c>
      <c r="S682" s="29">
        <v>14736.15</v>
      </c>
      <c r="T682" s="24" t="s">
        <v>1359</v>
      </c>
      <c r="U682" s="83">
        <v>6.3</v>
      </c>
      <c r="V682" s="296">
        <v>2019</v>
      </c>
    </row>
    <row r="683" spans="1:22" ht="30" customHeight="1">
      <c r="A683" s="70">
        <v>240</v>
      </c>
      <c r="B683" s="82" t="s">
        <v>49</v>
      </c>
      <c r="C683" s="24">
        <v>1958</v>
      </c>
      <c r="D683" s="24"/>
      <c r="E683" s="24" t="s">
        <v>374</v>
      </c>
      <c r="F683" s="24">
        <v>4.5</v>
      </c>
      <c r="G683" s="24">
        <v>8</v>
      </c>
      <c r="H683" s="37">
        <f>I683+1109.8</f>
        <v>8934.8</v>
      </c>
      <c r="I683" s="37">
        <v>7825</v>
      </c>
      <c r="J683" s="37">
        <v>7655.7</v>
      </c>
      <c r="K683" s="36">
        <v>216</v>
      </c>
      <c r="L683" s="24" t="s">
        <v>105</v>
      </c>
      <c r="M683" s="37">
        <v>21317220</v>
      </c>
      <c r="N683" s="109">
        <v>21317220</v>
      </c>
      <c r="O683" s="109">
        <f t="shared" si="50"/>
        <v>0</v>
      </c>
      <c r="P683" s="109"/>
      <c r="Q683" s="37">
        <v>21317220</v>
      </c>
      <c r="R683" s="37">
        <f t="shared" si="51"/>
        <v>2724.2453674121407</v>
      </c>
      <c r="S683" s="29">
        <v>14736.15</v>
      </c>
      <c r="T683" s="24" t="s">
        <v>1359</v>
      </c>
      <c r="U683" s="83">
        <v>6.3</v>
      </c>
      <c r="V683" s="296">
        <v>2019</v>
      </c>
    </row>
    <row r="684" spans="1:22" ht="30" customHeight="1">
      <c r="A684" s="70">
        <v>241</v>
      </c>
      <c r="B684" s="82" t="s">
        <v>61</v>
      </c>
      <c r="C684" s="24">
        <v>1957</v>
      </c>
      <c r="D684" s="24"/>
      <c r="E684" s="24" t="s">
        <v>374</v>
      </c>
      <c r="F684" s="24">
        <v>5</v>
      </c>
      <c r="G684" s="24">
        <v>5</v>
      </c>
      <c r="H684" s="37">
        <f>I684+515.9</f>
        <v>5081.799999999999</v>
      </c>
      <c r="I684" s="37">
        <v>4565.9</v>
      </c>
      <c r="J684" s="37">
        <v>4401.7</v>
      </c>
      <c r="K684" s="36">
        <v>119</v>
      </c>
      <c r="L684" s="24" t="s">
        <v>105</v>
      </c>
      <c r="M684" s="37">
        <v>4669800.68</v>
      </c>
      <c r="N684" s="109">
        <v>4669800.68</v>
      </c>
      <c r="O684" s="109">
        <f aca="true" t="shared" si="52" ref="O684:O735">M684-N684</f>
        <v>0</v>
      </c>
      <c r="P684" s="109"/>
      <c r="Q684" s="37">
        <v>4669800.68</v>
      </c>
      <c r="R684" s="37">
        <f t="shared" si="51"/>
        <v>1022.7557940384153</v>
      </c>
      <c r="S684" s="29">
        <v>14736.15</v>
      </c>
      <c r="T684" s="24" t="s">
        <v>1359</v>
      </c>
      <c r="U684" s="83">
        <v>6.3</v>
      </c>
      <c r="V684" s="296">
        <v>2019</v>
      </c>
    </row>
    <row r="685" spans="1:22" ht="30" customHeight="1">
      <c r="A685" s="70">
        <v>242</v>
      </c>
      <c r="B685" s="82" t="s">
        <v>1473</v>
      </c>
      <c r="C685" s="24">
        <v>1957</v>
      </c>
      <c r="D685" s="24"/>
      <c r="E685" s="24" t="s">
        <v>374</v>
      </c>
      <c r="F685" s="24">
        <v>4</v>
      </c>
      <c r="G685" s="24">
        <v>3</v>
      </c>
      <c r="H685" s="37">
        <f>I685+218.2</f>
        <v>1672.8</v>
      </c>
      <c r="I685" s="37">
        <v>1454.6</v>
      </c>
      <c r="J685" s="37">
        <v>1253.9</v>
      </c>
      <c r="K685" s="36">
        <v>49</v>
      </c>
      <c r="L685" s="24" t="s">
        <v>105</v>
      </c>
      <c r="M685" s="37">
        <v>2392977.72</v>
      </c>
      <c r="N685" s="109">
        <v>2392977.72</v>
      </c>
      <c r="O685" s="109">
        <f t="shared" si="52"/>
        <v>0</v>
      </c>
      <c r="P685" s="109"/>
      <c r="Q685" s="37">
        <v>2392977.72</v>
      </c>
      <c r="R685" s="37">
        <f t="shared" si="51"/>
        <v>1645.110490856593</v>
      </c>
      <c r="S685" s="29">
        <v>14736.15</v>
      </c>
      <c r="T685" s="24" t="s">
        <v>1359</v>
      </c>
      <c r="U685" s="83">
        <v>6.3</v>
      </c>
      <c r="V685" s="296">
        <v>2019</v>
      </c>
    </row>
    <row r="686" spans="1:22" ht="30" customHeight="1">
      <c r="A686" s="70">
        <v>243</v>
      </c>
      <c r="B686" s="82" t="s">
        <v>690</v>
      </c>
      <c r="C686" s="24">
        <v>1961</v>
      </c>
      <c r="D686" s="24"/>
      <c r="E686" s="24" t="s">
        <v>374</v>
      </c>
      <c r="F686" s="24">
        <v>5</v>
      </c>
      <c r="G686" s="24">
        <v>4</v>
      </c>
      <c r="H686" s="37">
        <f>I686+306</f>
        <v>3576.42</v>
      </c>
      <c r="I686" s="37">
        <v>3270.42</v>
      </c>
      <c r="J686" s="37">
        <v>3153.82</v>
      </c>
      <c r="K686" s="36">
        <v>161</v>
      </c>
      <c r="L686" s="24" t="s">
        <v>105</v>
      </c>
      <c r="M686" s="287">
        <v>3376052.58</v>
      </c>
      <c r="N686" s="288">
        <v>3376052.58</v>
      </c>
      <c r="O686" s="288">
        <f t="shared" si="52"/>
        <v>0</v>
      </c>
      <c r="P686" s="288"/>
      <c r="Q686" s="287">
        <v>3376052.58</v>
      </c>
      <c r="R686" s="37">
        <f t="shared" si="51"/>
        <v>1032.2993927385473</v>
      </c>
      <c r="S686" s="29">
        <v>14736.15</v>
      </c>
      <c r="T686" s="24" t="s">
        <v>1359</v>
      </c>
      <c r="U686" s="83">
        <v>6.3</v>
      </c>
      <c r="V686" s="296">
        <v>2019</v>
      </c>
    </row>
    <row r="687" spans="1:22" ht="30" customHeight="1">
      <c r="A687" s="70">
        <v>244</v>
      </c>
      <c r="B687" s="82" t="s">
        <v>50</v>
      </c>
      <c r="C687" s="24">
        <v>1959</v>
      </c>
      <c r="D687" s="24"/>
      <c r="E687" s="24" t="s">
        <v>374</v>
      </c>
      <c r="F687" s="24">
        <v>4</v>
      </c>
      <c r="G687" s="24">
        <v>4</v>
      </c>
      <c r="H687" s="37">
        <f>I687+240</f>
        <v>2870.73</v>
      </c>
      <c r="I687" s="37">
        <v>2630.73</v>
      </c>
      <c r="J687" s="37">
        <v>2401.83</v>
      </c>
      <c r="K687" s="36">
        <v>107</v>
      </c>
      <c r="L687" s="24" t="s">
        <v>105</v>
      </c>
      <c r="M687" s="287">
        <v>1926043.06</v>
      </c>
      <c r="N687" s="288">
        <v>1926043.06</v>
      </c>
      <c r="O687" s="288">
        <f t="shared" si="52"/>
        <v>0</v>
      </c>
      <c r="P687" s="288"/>
      <c r="Q687" s="287">
        <v>1926043.06</v>
      </c>
      <c r="R687" s="37">
        <f t="shared" si="51"/>
        <v>732.1325487602301</v>
      </c>
      <c r="S687" s="29">
        <v>14736.15</v>
      </c>
      <c r="T687" s="24" t="s">
        <v>1359</v>
      </c>
      <c r="U687" s="83">
        <v>6.3</v>
      </c>
      <c r="V687" s="296">
        <v>2019</v>
      </c>
    </row>
    <row r="688" spans="1:22" ht="30" customHeight="1">
      <c r="A688" s="70">
        <v>245</v>
      </c>
      <c r="B688" s="82" t="s">
        <v>1004</v>
      </c>
      <c r="C688" s="24">
        <v>1960</v>
      </c>
      <c r="D688" s="24"/>
      <c r="E688" s="24" t="s">
        <v>374</v>
      </c>
      <c r="F688" s="24">
        <v>6</v>
      </c>
      <c r="G688" s="24">
        <v>7</v>
      </c>
      <c r="H688" s="37">
        <f>I688+997.6</f>
        <v>11184.380000000001</v>
      </c>
      <c r="I688" s="37">
        <v>10186.78</v>
      </c>
      <c r="J688" s="37">
        <v>8276.7</v>
      </c>
      <c r="K688" s="36">
        <v>288</v>
      </c>
      <c r="L688" s="24" t="s">
        <v>105</v>
      </c>
      <c r="M688" s="287">
        <v>7612603.36</v>
      </c>
      <c r="N688" s="288">
        <v>7612603.36</v>
      </c>
      <c r="O688" s="288">
        <f t="shared" si="52"/>
        <v>0</v>
      </c>
      <c r="P688" s="288"/>
      <c r="Q688" s="287">
        <v>7612603.36</v>
      </c>
      <c r="R688" s="37">
        <f t="shared" si="51"/>
        <v>747.30222504069</v>
      </c>
      <c r="S688" s="29">
        <v>14736.15</v>
      </c>
      <c r="T688" s="24" t="s">
        <v>1359</v>
      </c>
      <c r="U688" s="83">
        <v>6.3</v>
      </c>
      <c r="V688" s="296">
        <v>2019</v>
      </c>
    </row>
    <row r="689" spans="1:22" ht="30" customHeight="1">
      <c r="A689" s="70">
        <v>246</v>
      </c>
      <c r="B689" s="82" t="s">
        <v>51</v>
      </c>
      <c r="C689" s="24">
        <v>1958</v>
      </c>
      <c r="D689" s="24"/>
      <c r="E689" s="24" t="s">
        <v>374</v>
      </c>
      <c r="F689" s="24">
        <v>5</v>
      </c>
      <c r="G689" s="24">
        <v>4</v>
      </c>
      <c r="H689" s="37">
        <f>I689+586</f>
        <v>6174.9</v>
      </c>
      <c r="I689" s="37">
        <v>5588.9</v>
      </c>
      <c r="J689" s="37">
        <v>5515.1</v>
      </c>
      <c r="K689" s="36">
        <v>157</v>
      </c>
      <c r="L689" s="24" t="s">
        <v>105</v>
      </c>
      <c r="M689" s="287">
        <v>5761907.95</v>
      </c>
      <c r="N689" s="288">
        <v>5761907.95</v>
      </c>
      <c r="O689" s="288">
        <f t="shared" si="52"/>
        <v>0</v>
      </c>
      <c r="P689" s="288"/>
      <c r="Q689" s="287">
        <v>5761907.95</v>
      </c>
      <c r="R689" s="37">
        <f t="shared" si="51"/>
        <v>1030.9556352770671</v>
      </c>
      <c r="S689" s="29">
        <v>14736.15</v>
      </c>
      <c r="T689" s="24" t="s">
        <v>1359</v>
      </c>
      <c r="U689" s="83">
        <v>6.3</v>
      </c>
      <c r="V689" s="296">
        <v>2019</v>
      </c>
    </row>
    <row r="690" spans="1:22" ht="30" customHeight="1">
      <c r="A690" s="70">
        <v>247</v>
      </c>
      <c r="B690" s="82" t="s">
        <v>781</v>
      </c>
      <c r="C690" s="24">
        <v>1960</v>
      </c>
      <c r="D690" s="24"/>
      <c r="E690" s="24" t="s">
        <v>374</v>
      </c>
      <c r="F690" s="24">
        <v>5</v>
      </c>
      <c r="G690" s="24">
        <v>4</v>
      </c>
      <c r="H690" s="37">
        <f>I690+628.8</f>
        <v>5934</v>
      </c>
      <c r="I690" s="37">
        <v>5305.2</v>
      </c>
      <c r="J690" s="37">
        <v>5305.2</v>
      </c>
      <c r="K690" s="36">
        <v>146</v>
      </c>
      <c r="L690" s="24" t="s">
        <v>105</v>
      </c>
      <c r="M690" s="287">
        <v>5048225.78</v>
      </c>
      <c r="N690" s="288">
        <v>5048225.78</v>
      </c>
      <c r="O690" s="288">
        <f t="shared" si="52"/>
        <v>0</v>
      </c>
      <c r="P690" s="288"/>
      <c r="Q690" s="287">
        <v>5048225.78</v>
      </c>
      <c r="R690" s="37">
        <f t="shared" si="51"/>
        <v>951.5618223629647</v>
      </c>
      <c r="S690" s="29">
        <v>14736.15</v>
      </c>
      <c r="T690" s="24" t="s">
        <v>1359</v>
      </c>
      <c r="U690" s="83">
        <v>6.3</v>
      </c>
      <c r="V690" s="296">
        <v>2019</v>
      </c>
    </row>
    <row r="691" spans="1:22" ht="30" customHeight="1">
      <c r="A691" s="70">
        <v>248</v>
      </c>
      <c r="B691" s="82" t="s">
        <v>422</v>
      </c>
      <c r="C691" s="24">
        <v>1961</v>
      </c>
      <c r="D691" s="24"/>
      <c r="E691" s="24" t="s">
        <v>374</v>
      </c>
      <c r="F691" s="24">
        <v>6</v>
      </c>
      <c r="G691" s="24">
        <v>3</v>
      </c>
      <c r="H691" s="37">
        <f>I691+221.4</f>
        <v>3458.9</v>
      </c>
      <c r="I691" s="37">
        <v>3237.5</v>
      </c>
      <c r="J691" s="37">
        <v>3164</v>
      </c>
      <c r="K691" s="36">
        <v>136</v>
      </c>
      <c r="L691" s="24" t="s">
        <v>105</v>
      </c>
      <c r="M691" s="37">
        <v>3054165.98</v>
      </c>
      <c r="N691" s="109">
        <v>3054165.98</v>
      </c>
      <c r="O691" s="109">
        <f t="shared" si="52"/>
        <v>0</v>
      </c>
      <c r="P691" s="109"/>
      <c r="Q691" s="37">
        <v>3054165.98</v>
      </c>
      <c r="R691" s="37">
        <f t="shared" si="51"/>
        <v>943.3717312741313</v>
      </c>
      <c r="S691" s="29">
        <v>14736.15</v>
      </c>
      <c r="T691" s="24" t="s">
        <v>1359</v>
      </c>
      <c r="U691" s="83">
        <v>6.3</v>
      </c>
      <c r="V691" s="296">
        <v>2019</v>
      </c>
    </row>
    <row r="692" spans="1:22" ht="30" customHeight="1">
      <c r="A692" s="70">
        <v>249</v>
      </c>
      <c r="B692" s="82" t="s">
        <v>52</v>
      </c>
      <c r="C692" s="24">
        <v>1961</v>
      </c>
      <c r="D692" s="24"/>
      <c r="E692" s="24" t="s">
        <v>374</v>
      </c>
      <c r="F692" s="24">
        <v>4</v>
      </c>
      <c r="G692" s="24">
        <v>2</v>
      </c>
      <c r="H692" s="37">
        <f>I692+137</f>
        <v>1457.8</v>
      </c>
      <c r="I692" s="37">
        <v>1320.8</v>
      </c>
      <c r="J692" s="37">
        <v>1199.3</v>
      </c>
      <c r="K692" s="36">
        <v>41</v>
      </c>
      <c r="L692" s="24" t="s">
        <v>105</v>
      </c>
      <c r="M692" s="37">
        <v>1474177.81</v>
      </c>
      <c r="N692" s="109">
        <v>1474177.81</v>
      </c>
      <c r="O692" s="109">
        <f t="shared" si="52"/>
        <v>0</v>
      </c>
      <c r="P692" s="109"/>
      <c r="Q692" s="37">
        <v>1474177.81</v>
      </c>
      <c r="R692" s="37">
        <f t="shared" si="51"/>
        <v>1116.1249318594791</v>
      </c>
      <c r="S692" s="29">
        <v>14736.15</v>
      </c>
      <c r="T692" s="24" t="s">
        <v>1359</v>
      </c>
      <c r="U692" s="83">
        <v>6.3</v>
      </c>
      <c r="V692" s="296">
        <v>2019</v>
      </c>
    </row>
    <row r="693" spans="1:22" ht="30" customHeight="1">
      <c r="A693" s="70">
        <v>250</v>
      </c>
      <c r="B693" s="82" t="s">
        <v>53</v>
      </c>
      <c r="C693" s="24">
        <v>1959</v>
      </c>
      <c r="D693" s="24"/>
      <c r="E693" s="24" t="s">
        <v>374</v>
      </c>
      <c r="F693" s="24">
        <v>5</v>
      </c>
      <c r="G693" s="24">
        <v>4</v>
      </c>
      <c r="H693" s="37">
        <f>I693+304</f>
        <v>3644.4</v>
      </c>
      <c r="I693" s="37">
        <v>3340.4</v>
      </c>
      <c r="J693" s="37">
        <v>3137.7</v>
      </c>
      <c r="K693" s="36">
        <v>137</v>
      </c>
      <c r="L693" s="24" t="s">
        <v>105</v>
      </c>
      <c r="M693" s="37">
        <v>3420462.8</v>
      </c>
      <c r="N693" s="109">
        <v>3420462.8</v>
      </c>
      <c r="O693" s="109">
        <f t="shared" si="52"/>
        <v>0</v>
      </c>
      <c r="P693" s="171"/>
      <c r="Q693" s="37">
        <v>3420462.8</v>
      </c>
      <c r="R693" s="90">
        <f t="shared" si="51"/>
        <v>1023.968027781104</v>
      </c>
      <c r="S693" s="29">
        <v>14736.15</v>
      </c>
      <c r="T693" s="24" t="s">
        <v>1359</v>
      </c>
      <c r="U693" s="83">
        <v>6.3</v>
      </c>
      <c r="V693" s="296">
        <v>2019</v>
      </c>
    </row>
    <row r="694" spans="1:22" ht="30" customHeight="1">
      <c r="A694" s="70">
        <v>251</v>
      </c>
      <c r="B694" s="82" t="s">
        <v>694</v>
      </c>
      <c r="C694" s="24">
        <v>1961</v>
      </c>
      <c r="D694" s="24"/>
      <c r="E694" s="24" t="s">
        <v>374</v>
      </c>
      <c r="F694" s="24">
        <v>5</v>
      </c>
      <c r="G694" s="24">
        <v>3</v>
      </c>
      <c r="H694" s="37">
        <f>I694+232.5</f>
        <v>2390</v>
      </c>
      <c r="I694" s="37">
        <v>2157.5</v>
      </c>
      <c r="J694" s="37">
        <v>2022.6</v>
      </c>
      <c r="K694" s="36">
        <v>105</v>
      </c>
      <c r="L694" s="24" t="s">
        <v>105</v>
      </c>
      <c r="M694" s="37">
        <v>1783572.06</v>
      </c>
      <c r="N694" s="109">
        <v>1783572.06</v>
      </c>
      <c r="O694" s="109">
        <f t="shared" si="52"/>
        <v>0</v>
      </c>
      <c r="P694" s="109"/>
      <c r="Q694" s="37">
        <v>1783572.06</v>
      </c>
      <c r="R694" s="37">
        <f t="shared" si="51"/>
        <v>826.6846164542295</v>
      </c>
      <c r="S694" s="29">
        <v>14736.15</v>
      </c>
      <c r="T694" s="24" t="s">
        <v>1359</v>
      </c>
      <c r="U694" s="83">
        <v>6.3</v>
      </c>
      <c r="V694" s="296">
        <v>2019</v>
      </c>
    </row>
    <row r="695" spans="1:22" ht="30" customHeight="1">
      <c r="A695" s="70">
        <v>252</v>
      </c>
      <c r="B695" s="82" t="s">
        <v>54</v>
      </c>
      <c r="C695" s="24">
        <v>1962</v>
      </c>
      <c r="D695" s="24"/>
      <c r="E695" s="24" t="s">
        <v>374</v>
      </c>
      <c r="F695" s="24">
        <v>5</v>
      </c>
      <c r="G695" s="24">
        <v>4</v>
      </c>
      <c r="H695" s="37">
        <f>I695+300</f>
        <v>3592.2</v>
      </c>
      <c r="I695" s="37">
        <v>3292.2</v>
      </c>
      <c r="J695" s="37">
        <v>2887.2</v>
      </c>
      <c r="K695" s="36">
        <v>152</v>
      </c>
      <c r="L695" s="24" t="s">
        <v>105</v>
      </c>
      <c r="M695" s="37">
        <v>3009351.42</v>
      </c>
      <c r="N695" s="109">
        <v>3009351.42</v>
      </c>
      <c r="O695" s="109">
        <f t="shared" si="52"/>
        <v>0</v>
      </c>
      <c r="P695" s="109"/>
      <c r="Q695" s="37">
        <v>3009351.42</v>
      </c>
      <c r="R695" s="37">
        <f t="shared" si="51"/>
        <v>914.0852378348825</v>
      </c>
      <c r="S695" s="29">
        <v>14736.15</v>
      </c>
      <c r="T695" s="24" t="s">
        <v>1359</v>
      </c>
      <c r="U695" s="83">
        <v>6.3</v>
      </c>
      <c r="V695" s="296">
        <v>2019</v>
      </c>
    </row>
    <row r="696" spans="1:22" ht="30" customHeight="1">
      <c r="A696" s="70">
        <v>253</v>
      </c>
      <c r="B696" s="82" t="s">
        <v>85</v>
      </c>
      <c r="C696" s="24">
        <v>1966</v>
      </c>
      <c r="D696" s="24"/>
      <c r="E696" s="24" t="s">
        <v>374</v>
      </c>
      <c r="F696" s="24">
        <v>5</v>
      </c>
      <c r="G696" s="24">
        <v>3</v>
      </c>
      <c r="H696" s="37">
        <f>I696+239.9</f>
        <v>2813.5</v>
      </c>
      <c r="I696" s="37">
        <v>2573.6</v>
      </c>
      <c r="J696" s="37">
        <v>2186.2</v>
      </c>
      <c r="K696" s="36">
        <v>109</v>
      </c>
      <c r="L696" s="24" t="s">
        <v>105</v>
      </c>
      <c r="M696" s="37">
        <v>2547978.1</v>
      </c>
      <c r="N696" s="109">
        <v>2547978.1</v>
      </c>
      <c r="O696" s="109">
        <f t="shared" si="52"/>
        <v>0</v>
      </c>
      <c r="P696" s="109"/>
      <c r="Q696" s="37">
        <v>2547978.1</v>
      </c>
      <c r="R696" s="37">
        <f t="shared" si="51"/>
        <v>990.0443347839603</v>
      </c>
      <c r="S696" s="29">
        <v>14736.15</v>
      </c>
      <c r="T696" s="24" t="s">
        <v>1359</v>
      </c>
      <c r="U696" s="83">
        <v>6.3</v>
      </c>
      <c r="V696" s="296">
        <v>2019</v>
      </c>
    </row>
    <row r="697" spans="1:22" ht="30" customHeight="1">
      <c r="A697" s="70">
        <v>254</v>
      </c>
      <c r="B697" s="82" t="s">
        <v>86</v>
      </c>
      <c r="C697" s="24">
        <v>1947</v>
      </c>
      <c r="D697" s="24"/>
      <c r="E697" s="24" t="s">
        <v>374</v>
      </c>
      <c r="F697" s="24">
        <v>3</v>
      </c>
      <c r="G697" s="24">
        <v>1</v>
      </c>
      <c r="H697" s="37">
        <f>I697+94.5</f>
        <v>1126.8</v>
      </c>
      <c r="I697" s="37">
        <v>1032.3</v>
      </c>
      <c r="J697" s="37">
        <v>768.1</v>
      </c>
      <c r="K697" s="36">
        <v>33</v>
      </c>
      <c r="L697" s="24" t="s">
        <v>105</v>
      </c>
      <c r="M697" s="37">
        <v>1171057.1</v>
      </c>
      <c r="N697" s="109">
        <v>1171057.1</v>
      </c>
      <c r="O697" s="109">
        <f t="shared" si="52"/>
        <v>0</v>
      </c>
      <c r="P697" s="109"/>
      <c r="Q697" s="37">
        <v>1171057.1</v>
      </c>
      <c r="R697" s="37">
        <f t="shared" si="51"/>
        <v>1134.4154799961252</v>
      </c>
      <c r="S697" s="29">
        <v>14736.15</v>
      </c>
      <c r="T697" s="24" t="s">
        <v>1359</v>
      </c>
      <c r="U697" s="83">
        <v>6.3</v>
      </c>
      <c r="V697" s="296">
        <v>2019</v>
      </c>
    </row>
    <row r="698" spans="1:22" ht="30" customHeight="1">
      <c r="A698" s="70">
        <v>255</v>
      </c>
      <c r="B698" s="82" t="s">
        <v>87</v>
      </c>
      <c r="C698" s="24">
        <v>1952</v>
      </c>
      <c r="D698" s="24"/>
      <c r="E698" s="24" t="s">
        <v>374</v>
      </c>
      <c r="F698" s="24">
        <v>3</v>
      </c>
      <c r="G698" s="24">
        <v>2</v>
      </c>
      <c r="H698" s="37">
        <f>I698+122.7</f>
        <v>1779.5</v>
      </c>
      <c r="I698" s="37">
        <v>1656.8</v>
      </c>
      <c r="J698" s="37">
        <v>1410.8</v>
      </c>
      <c r="K698" s="272">
        <v>55</v>
      </c>
      <c r="L698" s="24" t="s">
        <v>105</v>
      </c>
      <c r="M698" s="37">
        <v>1850404.67</v>
      </c>
      <c r="N698" s="109">
        <v>1850404.67</v>
      </c>
      <c r="O698" s="109">
        <f t="shared" si="52"/>
        <v>0</v>
      </c>
      <c r="P698" s="109"/>
      <c r="Q698" s="37">
        <v>1850404.67</v>
      </c>
      <c r="R698" s="37">
        <f t="shared" si="51"/>
        <v>1116.8545811202318</v>
      </c>
      <c r="S698" s="29">
        <v>14736.15</v>
      </c>
      <c r="T698" s="24" t="s">
        <v>1359</v>
      </c>
      <c r="U698" s="83">
        <v>6.3</v>
      </c>
      <c r="V698" s="296">
        <v>2019</v>
      </c>
    </row>
    <row r="699" spans="1:22" ht="30" customHeight="1">
      <c r="A699" s="70">
        <v>256</v>
      </c>
      <c r="B699" s="82" t="s">
        <v>88</v>
      </c>
      <c r="C699" s="24">
        <v>1982</v>
      </c>
      <c r="D699" s="24"/>
      <c r="E699" s="24" t="s">
        <v>374</v>
      </c>
      <c r="F699" s="24">
        <v>4</v>
      </c>
      <c r="G699" s="24">
        <v>3</v>
      </c>
      <c r="H699" s="37">
        <f>I699+323</f>
        <v>3373.3</v>
      </c>
      <c r="I699" s="37">
        <v>3050.3</v>
      </c>
      <c r="J699" s="37">
        <v>3050.3</v>
      </c>
      <c r="K699" s="36">
        <v>99</v>
      </c>
      <c r="L699" s="24" t="s">
        <v>90</v>
      </c>
      <c r="M699" s="37">
        <v>5281533.23</v>
      </c>
      <c r="N699" s="109">
        <v>5281533.23</v>
      </c>
      <c r="O699" s="109">
        <f t="shared" si="52"/>
        <v>0</v>
      </c>
      <c r="P699" s="109"/>
      <c r="Q699" s="37">
        <v>5281533.23</v>
      </c>
      <c r="R699" s="37">
        <f t="shared" si="51"/>
        <v>1731.4799298429664</v>
      </c>
      <c r="S699" s="29">
        <v>14736.15</v>
      </c>
      <c r="T699" s="24" t="s">
        <v>1359</v>
      </c>
      <c r="U699" s="83">
        <v>6.3</v>
      </c>
      <c r="V699" s="296">
        <v>2019</v>
      </c>
    </row>
    <row r="700" spans="1:22" ht="30" customHeight="1">
      <c r="A700" s="70">
        <v>257</v>
      </c>
      <c r="B700" s="82" t="s">
        <v>89</v>
      </c>
      <c r="C700" s="24">
        <v>1960</v>
      </c>
      <c r="D700" s="24"/>
      <c r="E700" s="24" t="s">
        <v>374</v>
      </c>
      <c r="F700" s="24">
        <v>5</v>
      </c>
      <c r="G700" s="24">
        <v>6</v>
      </c>
      <c r="H700" s="37">
        <f>I700+399.8</f>
        <v>5825.900000000001</v>
      </c>
      <c r="I700" s="37">
        <v>5426.1</v>
      </c>
      <c r="J700" s="37">
        <v>5267</v>
      </c>
      <c r="K700" s="36">
        <v>205</v>
      </c>
      <c r="L700" s="24" t="s">
        <v>1280</v>
      </c>
      <c r="M700" s="37">
        <v>10307355.78</v>
      </c>
      <c r="N700" s="109">
        <v>10307355.780000001</v>
      </c>
      <c r="O700" s="109">
        <f t="shared" si="52"/>
        <v>0</v>
      </c>
      <c r="P700" s="109"/>
      <c r="Q700" s="37">
        <v>10307355.78</v>
      </c>
      <c r="R700" s="37">
        <f t="shared" si="51"/>
        <v>1899.5882457013322</v>
      </c>
      <c r="S700" s="29">
        <v>14736.15</v>
      </c>
      <c r="T700" s="24" t="s">
        <v>1359</v>
      </c>
      <c r="U700" s="83">
        <v>6.3</v>
      </c>
      <c r="V700" s="296">
        <v>2019</v>
      </c>
    </row>
    <row r="701" spans="1:22" ht="30" customHeight="1">
      <c r="A701" s="70">
        <v>258</v>
      </c>
      <c r="B701" s="82" t="s">
        <v>1281</v>
      </c>
      <c r="C701" s="24">
        <v>1948</v>
      </c>
      <c r="D701" s="24"/>
      <c r="E701" s="24" t="s">
        <v>374</v>
      </c>
      <c r="F701" s="24">
        <v>3</v>
      </c>
      <c r="G701" s="24">
        <v>2</v>
      </c>
      <c r="H701" s="37">
        <f>I701+130.9</f>
        <v>2026.8000000000002</v>
      </c>
      <c r="I701" s="37">
        <v>1895.9</v>
      </c>
      <c r="J701" s="37">
        <v>1843.1</v>
      </c>
      <c r="K701" s="36">
        <v>40</v>
      </c>
      <c r="L701" s="24" t="s">
        <v>105</v>
      </c>
      <c r="M701" s="37">
        <v>10220390</v>
      </c>
      <c r="N701" s="109">
        <v>10220390</v>
      </c>
      <c r="O701" s="109">
        <f t="shared" si="52"/>
        <v>0</v>
      </c>
      <c r="P701" s="109"/>
      <c r="Q701" s="37">
        <v>10220390</v>
      </c>
      <c r="R701" s="37">
        <f t="shared" si="51"/>
        <v>5390.785378975684</v>
      </c>
      <c r="S701" s="29">
        <v>14736.15</v>
      </c>
      <c r="T701" s="24" t="s">
        <v>1359</v>
      </c>
      <c r="U701" s="83">
        <v>6.3</v>
      </c>
      <c r="V701" s="296">
        <v>2019</v>
      </c>
    </row>
    <row r="702" spans="1:22" ht="30" customHeight="1">
      <c r="A702" s="70">
        <v>259</v>
      </c>
      <c r="B702" s="82" t="s">
        <v>1282</v>
      </c>
      <c r="C702" s="24">
        <v>1963</v>
      </c>
      <c r="D702" s="24"/>
      <c r="E702" s="24" t="s">
        <v>374</v>
      </c>
      <c r="F702" s="24">
        <v>5</v>
      </c>
      <c r="G702" s="24">
        <v>2</v>
      </c>
      <c r="H702" s="37">
        <f>I702+235</f>
        <v>2295.2</v>
      </c>
      <c r="I702" s="37">
        <v>2060.2</v>
      </c>
      <c r="J702" s="37">
        <v>2060.2</v>
      </c>
      <c r="K702" s="36">
        <v>59</v>
      </c>
      <c r="L702" s="24" t="s">
        <v>105</v>
      </c>
      <c r="M702" s="37">
        <v>2140516.15</v>
      </c>
      <c r="N702" s="109">
        <v>2140516.15</v>
      </c>
      <c r="O702" s="109">
        <f t="shared" si="52"/>
        <v>0</v>
      </c>
      <c r="P702" s="109"/>
      <c r="Q702" s="37">
        <v>2140516.15</v>
      </c>
      <c r="R702" s="37">
        <f t="shared" si="51"/>
        <v>1038.9846374138433</v>
      </c>
      <c r="S702" s="29">
        <v>14736.15</v>
      </c>
      <c r="T702" s="24" t="s">
        <v>1359</v>
      </c>
      <c r="U702" s="83">
        <v>6.3</v>
      </c>
      <c r="V702" s="296">
        <v>2019</v>
      </c>
    </row>
    <row r="703" spans="1:22" ht="30" customHeight="1">
      <c r="A703" s="70">
        <v>260</v>
      </c>
      <c r="B703" s="82" t="s">
        <v>1520</v>
      </c>
      <c r="C703" s="24">
        <v>1988</v>
      </c>
      <c r="D703" s="24"/>
      <c r="E703" s="24" t="s">
        <v>374</v>
      </c>
      <c r="F703" s="24">
        <v>5</v>
      </c>
      <c r="G703" s="24">
        <v>7</v>
      </c>
      <c r="H703" s="37">
        <f>I703+936</f>
        <v>9057.4</v>
      </c>
      <c r="I703" s="37">
        <v>8121.4</v>
      </c>
      <c r="J703" s="37">
        <v>6678.2</v>
      </c>
      <c r="K703" s="36">
        <v>210</v>
      </c>
      <c r="L703" s="24" t="s">
        <v>105</v>
      </c>
      <c r="M703" s="37">
        <v>6430503.65</v>
      </c>
      <c r="N703" s="109">
        <v>6430503.65</v>
      </c>
      <c r="O703" s="109">
        <f t="shared" si="52"/>
        <v>0</v>
      </c>
      <c r="P703" s="109"/>
      <c r="Q703" s="37">
        <v>6430503.65</v>
      </c>
      <c r="R703" s="37">
        <f t="shared" si="51"/>
        <v>791.7974302460168</v>
      </c>
      <c r="S703" s="29">
        <v>14736.15</v>
      </c>
      <c r="T703" s="24" t="s">
        <v>1359</v>
      </c>
      <c r="U703" s="83">
        <v>6.3</v>
      </c>
      <c r="V703" s="296">
        <v>2019</v>
      </c>
    </row>
    <row r="704" spans="1:22" ht="30" customHeight="1">
      <c r="A704" s="70">
        <v>261</v>
      </c>
      <c r="B704" s="82" t="s">
        <v>1521</v>
      </c>
      <c r="C704" s="24">
        <v>1949</v>
      </c>
      <c r="D704" s="24"/>
      <c r="E704" s="24" t="s">
        <v>374</v>
      </c>
      <c r="F704" s="24">
        <v>3</v>
      </c>
      <c r="G704" s="24">
        <v>2</v>
      </c>
      <c r="H704" s="37">
        <f>I704+138</f>
        <v>1459</v>
      </c>
      <c r="I704" s="37">
        <v>1321</v>
      </c>
      <c r="J704" s="37">
        <v>1321</v>
      </c>
      <c r="K704" s="36">
        <v>34</v>
      </c>
      <c r="L704" s="24" t="s">
        <v>105</v>
      </c>
      <c r="M704" s="37">
        <v>1395543.82</v>
      </c>
      <c r="N704" s="109">
        <v>1395543.82</v>
      </c>
      <c r="O704" s="109">
        <f t="shared" si="52"/>
        <v>0</v>
      </c>
      <c r="P704" s="109"/>
      <c r="Q704" s="37">
        <v>1395543.82</v>
      </c>
      <c r="R704" s="37">
        <f t="shared" si="51"/>
        <v>1056.4298410295232</v>
      </c>
      <c r="S704" s="29">
        <v>14736.15</v>
      </c>
      <c r="T704" s="24" t="s">
        <v>1359</v>
      </c>
      <c r="U704" s="83">
        <v>6.3</v>
      </c>
      <c r="V704" s="296">
        <v>2019</v>
      </c>
    </row>
    <row r="705" spans="1:22" ht="30" customHeight="1">
      <c r="A705" s="70">
        <v>262</v>
      </c>
      <c r="B705" s="82" t="s">
        <v>1283</v>
      </c>
      <c r="C705" s="24">
        <v>1960</v>
      </c>
      <c r="D705" s="24"/>
      <c r="E705" s="24" t="s">
        <v>374</v>
      </c>
      <c r="F705" s="24">
        <v>4</v>
      </c>
      <c r="G705" s="24">
        <v>4</v>
      </c>
      <c r="H705" s="37">
        <f>I705+301.6</f>
        <v>2652.1</v>
      </c>
      <c r="I705" s="37">
        <v>2350.5</v>
      </c>
      <c r="J705" s="37">
        <v>2275.1</v>
      </c>
      <c r="K705" s="36">
        <v>63</v>
      </c>
      <c r="L705" s="24" t="s">
        <v>105</v>
      </c>
      <c r="M705" s="37">
        <v>2997534.73</v>
      </c>
      <c r="N705" s="109">
        <v>2997534.73</v>
      </c>
      <c r="O705" s="109">
        <f t="shared" si="52"/>
        <v>0</v>
      </c>
      <c r="P705" s="109"/>
      <c r="Q705" s="37">
        <v>2997534.73</v>
      </c>
      <c r="R705" s="37">
        <f t="shared" si="51"/>
        <v>1275.2753584343757</v>
      </c>
      <c r="S705" s="29">
        <v>14736.15</v>
      </c>
      <c r="T705" s="24" t="s">
        <v>1359</v>
      </c>
      <c r="U705" s="83">
        <v>6.3</v>
      </c>
      <c r="V705" s="296">
        <v>2019</v>
      </c>
    </row>
    <row r="706" spans="1:22" ht="30" customHeight="1">
      <c r="A706" s="70">
        <v>263</v>
      </c>
      <c r="B706" s="82" t="s">
        <v>1284</v>
      </c>
      <c r="C706" s="24">
        <v>1954</v>
      </c>
      <c r="D706" s="24"/>
      <c r="E706" s="24" t="s">
        <v>374</v>
      </c>
      <c r="F706" s="24">
        <v>4</v>
      </c>
      <c r="G706" s="24">
        <v>3</v>
      </c>
      <c r="H706" s="37">
        <f>I706+264.9</f>
        <v>3715.61</v>
      </c>
      <c r="I706" s="37">
        <v>3450.71</v>
      </c>
      <c r="J706" s="37">
        <v>3163.19</v>
      </c>
      <c r="K706" s="36">
        <v>81</v>
      </c>
      <c r="L706" s="24" t="s">
        <v>105</v>
      </c>
      <c r="M706" s="287">
        <v>15346210</v>
      </c>
      <c r="N706" s="288">
        <v>15346210</v>
      </c>
      <c r="O706" s="288">
        <f t="shared" si="52"/>
        <v>0</v>
      </c>
      <c r="P706" s="288"/>
      <c r="Q706" s="287">
        <v>15346210</v>
      </c>
      <c r="R706" s="37">
        <f t="shared" si="51"/>
        <v>4447.261578052053</v>
      </c>
      <c r="S706" s="29">
        <v>14736.15</v>
      </c>
      <c r="T706" s="24" t="s">
        <v>1359</v>
      </c>
      <c r="U706" s="83">
        <v>6.3</v>
      </c>
      <c r="V706" s="296">
        <v>2019</v>
      </c>
    </row>
    <row r="707" spans="1:22" ht="30" customHeight="1">
      <c r="A707" s="70">
        <v>264</v>
      </c>
      <c r="B707" s="82" t="s">
        <v>1285</v>
      </c>
      <c r="C707" s="24">
        <v>1951</v>
      </c>
      <c r="D707" s="24"/>
      <c r="E707" s="24" t="s">
        <v>374</v>
      </c>
      <c r="F707" s="24">
        <v>4</v>
      </c>
      <c r="G707" s="24">
        <v>4</v>
      </c>
      <c r="H707" s="37">
        <f>I707+386</f>
        <v>3334.6</v>
      </c>
      <c r="I707" s="37">
        <v>2948.6</v>
      </c>
      <c r="J707" s="37">
        <v>2652.5</v>
      </c>
      <c r="K707" s="36">
        <v>60</v>
      </c>
      <c r="L707" s="24" t="s">
        <v>105</v>
      </c>
      <c r="M707" s="287">
        <v>17514503.57</v>
      </c>
      <c r="N707" s="288">
        <v>17514503.37</v>
      </c>
      <c r="O707" s="288">
        <f t="shared" si="52"/>
        <v>0.19999999925494194</v>
      </c>
      <c r="P707" s="288"/>
      <c r="Q707" s="287">
        <v>17514503.57</v>
      </c>
      <c r="R707" s="37">
        <f t="shared" si="51"/>
        <v>5939.938808247983</v>
      </c>
      <c r="S707" s="29">
        <v>14736.15</v>
      </c>
      <c r="T707" s="24" t="s">
        <v>1359</v>
      </c>
      <c r="U707" s="83">
        <v>6.3</v>
      </c>
      <c r="V707" s="296">
        <v>2019</v>
      </c>
    </row>
    <row r="708" spans="1:22" ht="30" customHeight="1">
      <c r="A708" s="70">
        <v>265</v>
      </c>
      <c r="B708" s="82" t="s">
        <v>62</v>
      </c>
      <c r="C708" s="24">
        <v>1959</v>
      </c>
      <c r="D708" s="24"/>
      <c r="E708" s="24" t="s">
        <v>374</v>
      </c>
      <c r="F708" s="24">
        <v>4</v>
      </c>
      <c r="G708" s="24">
        <v>1</v>
      </c>
      <c r="H708" s="37">
        <f>I708+109</f>
        <v>1516.5</v>
      </c>
      <c r="I708" s="37">
        <v>1407.5</v>
      </c>
      <c r="J708" s="37">
        <v>1407.5</v>
      </c>
      <c r="K708" s="36">
        <v>46</v>
      </c>
      <c r="L708" s="24" t="s">
        <v>105</v>
      </c>
      <c r="M708" s="287">
        <v>1810364.73</v>
      </c>
      <c r="N708" s="288">
        <v>1810364.73</v>
      </c>
      <c r="O708" s="288">
        <f t="shared" si="52"/>
        <v>0</v>
      </c>
      <c r="P708" s="288"/>
      <c r="Q708" s="287">
        <v>1810364.73</v>
      </c>
      <c r="R708" s="37">
        <f t="shared" si="51"/>
        <v>1286.227161634103</v>
      </c>
      <c r="S708" s="29">
        <v>14736.15</v>
      </c>
      <c r="T708" s="24" t="s">
        <v>1359</v>
      </c>
      <c r="U708" s="83">
        <v>6.3</v>
      </c>
      <c r="V708" s="296">
        <v>2019</v>
      </c>
    </row>
    <row r="709" spans="1:22" ht="30" customHeight="1">
      <c r="A709" s="70">
        <v>266</v>
      </c>
      <c r="B709" s="82" t="s">
        <v>1287</v>
      </c>
      <c r="C709" s="24">
        <v>1940</v>
      </c>
      <c r="D709" s="24"/>
      <c r="E709" s="24" t="s">
        <v>374</v>
      </c>
      <c r="F709" s="24">
        <v>3</v>
      </c>
      <c r="G709" s="24">
        <v>3</v>
      </c>
      <c r="H709" s="37">
        <f>I709+178</f>
        <v>1794.7</v>
      </c>
      <c r="I709" s="37">
        <v>1616.7</v>
      </c>
      <c r="J709" s="37">
        <v>1451</v>
      </c>
      <c r="K709" s="36">
        <v>46</v>
      </c>
      <c r="L709" s="24" t="s">
        <v>105</v>
      </c>
      <c r="M709" s="287">
        <v>13715615.43</v>
      </c>
      <c r="N709" s="288">
        <v>13715615.43</v>
      </c>
      <c r="O709" s="288">
        <f t="shared" si="52"/>
        <v>0</v>
      </c>
      <c r="P709" s="288"/>
      <c r="Q709" s="287">
        <v>13715615.43</v>
      </c>
      <c r="R709" s="37">
        <f t="shared" si="51"/>
        <v>8483.710911115235</v>
      </c>
      <c r="S709" s="29">
        <v>14736.15</v>
      </c>
      <c r="T709" s="24" t="s">
        <v>1359</v>
      </c>
      <c r="U709" s="83">
        <v>6.3</v>
      </c>
      <c r="V709" s="296">
        <v>2019</v>
      </c>
    </row>
    <row r="710" spans="1:22" ht="30" customHeight="1">
      <c r="A710" s="70">
        <v>267</v>
      </c>
      <c r="B710" s="82" t="s">
        <v>1288</v>
      </c>
      <c r="C710" s="24">
        <v>1940</v>
      </c>
      <c r="D710" s="24"/>
      <c r="E710" s="24" t="s">
        <v>374</v>
      </c>
      <c r="F710" s="24">
        <v>3</v>
      </c>
      <c r="G710" s="24">
        <v>2</v>
      </c>
      <c r="H710" s="37">
        <f>I710+91.8</f>
        <v>807.1999999999999</v>
      </c>
      <c r="I710" s="37">
        <v>715.4</v>
      </c>
      <c r="J710" s="37">
        <v>715.4</v>
      </c>
      <c r="K710" s="36">
        <v>16</v>
      </c>
      <c r="L710" s="24" t="s">
        <v>105</v>
      </c>
      <c r="M710" s="287">
        <v>8794880</v>
      </c>
      <c r="N710" s="288">
        <v>8794880</v>
      </c>
      <c r="O710" s="288">
        <f t="shared" si="52"/>
        <v>0</v>
      </c>
      <c r="P710" s="288"/>
      <c r="Q710" s="287">
        <v>8794880</v>
      </c>
      <c r="R710" s="37">
        <f t="shared" si="51"/>
        <v>12293.653899916131</v>
      </c>
      <c r="S710" s="29">
        <v>14736.15</v>
      </c>
      <c r="T710" s="24" t="s">
        <v>1359</v>
      </c>
      <c r="U710" s="83">
        <v>6.3</v>
      </c>
      <c r="V710" s="296">
        <v>2019</v>
      </c>
    </row>
    <row r="711" spans="1:22" ht="30" customHeight="1">
      <c r="A711" s="70">
        <v>268</v>
      </c>
      <c r="B711" s="82" t="s">
        <v>1289</v>
      </c>
      <c r="C711" s="24">
        <v>1965</v>
      </c>
      <c r="D711" s="24"/>
      <c r="E711" s="24" t="s">
        <v>374</v>
      </c>
      <c r="F711" s="24">
        <v>5</v>
      </c>
      <c r="G711" s="24">
        <v>2</v>
      </c>
      <c r="H711" s="37">
        <f>I711+291.4</f>
        <v>1868.6</v>
      </c>
      <c r="I711" s="37">
        <v>1577.2</v>
      </c>
      <c r="J711" s="37">
        <v>1577.2</v>
      </c>
      <c r="K711" s="36">
        <v>80</v>
      </c>
      <c r="L711" s="24" t="s">
        <v>105</v>
      </c>
      <c r="M711" s="287">
        <v>2144943.39</v>
      </c>
      <c r="N711" s="288">
        <v>2144943.39</v>
      </c>
      <c r="O711" s="288">
        <f t="shared" si="52"/>
        <v>0</v>
      </c>
      <c r="P711" s="288"/>
      <c r="Q711" s="287">
        <v>2144943.39</v>
      </c>
      <c r="R711" s="37">
        <f t="shared" si="51"/>
        <v>1359.9691795587116</v>
      </c>
      <c r="S711" s="29">
        <v>14736.15</v>
      </c>
      <c r="T711" s="24" t="s">
        <v>1359</v>
      </c>
      <c r="U711" s="83">
        <v>6.3</v>
      </c>
      <c r="V711" s="296">
        <v>2019</v>
      </c>
    </row>
    <row r="712" spans="1:22" ht="30" customHeight="1">
      <c r="A712" s="70">
        <v>269</v>
      </c>
      <c r="B712" s="82" t="s">
        <v>1290</v>
      </c>
      <c r="C712" s="24">
        <v>1968</v>
      </c>
      <c r="D712" s="24"/>
      <c r="E712" s="24" t="s">
        <v>374</v>
      </c>
      <c r="F712" s="24">
        <v>9</v>
      </c>
      <c r="G712" s="24">
        <v>1</v>
      </c>
      <c r="H712" s="37">
        <f>I712+1109.8</f>
        <v>3851.7</v>
      </c>
      <c r="I712" s="37">
        <v>2741.9</v>
      </c>
      <c r="J712" s="37">
        <v>1976.1</v>
      </c>
      <c r="K712" s="36">
        <v>81</v>
      </c>
      <c r="L712" s="24" t="s">
        <v>105</v>
      </c>
      <c r="M712" s="287">
        <v>1979126.81</v>
      </c>
      <c r="N712" s="288">
        <v>1979126.81</v>
      </c>
      <c r="O712" s="288">
        <f t="shared" si="52"/>
        <v>0</v>
      </c>
      <c r="P712" s="288"/>
      <c r="Q712" s="287">
        <v>1979126.81</v>
      </c>
      <c r="R712" s="37">
        <f t="shared" si="51"/>
        <v>721.808530580984</v>
      </c>
      <c r="S712" s="29">
        <v>14736.15</v>
      </c>
      <c r="T712" s="24" t="s">
        <v>1359</v>
      </c>
      <c r="U712" s="83">
        <v>6.3</v>
      </c>
      <c r="V712" s="296">
        <v>2019</v>
      </c>
    </row>
    <row r="713" spans="1:22" ht="30" customHeight="1">
      <c r="A713" s="70">
        <v>270</v>
      </c>
      <c r="B713" s="82" t="s">
        <v>1291</v>
      </c>
      <c r="C713" s="24">
        <v>1970</v>
      </c>
      <c r="D713" s="24"/>
      <c r="E713" s="24" t="s">
        <v>374</v>
      </c>
      <c r="F713" s="24">
        <v>9</v>
      </c>
      <c r="G713" s="24">
        <v>1</v>
      </c>
      <c r="H713" s="37">
        <f>I713+188.6</f>
        <v>3759.2999999999997</v>
      </c>
      <c r="I713" s="37">
        <v>3570.7</v>
      </c>
      <c r="J713" s="37">
        <v>2045</v>
      </c>
      <c r="K713" s="36">
        <v>98</v>
      </c>
      <c r="L713" s="24" t="s">
        <v>105</v>
      </c>
      <c r="M713" s="287">
        <v>1668399.55</v>
      </c>
      <c r="N713" s="288">
        <v>1668399.55</v>
      </c>
      <c r="O713" s="288">
        <f t="shared" si="52"/>
        <v>0</v>
      </c>
      <c r="P713" s="288"/>
      <c r="Q713" s="287">
        <v>1668399.55</v>
      </c>
      <c r="R713" s="37">
        <f t="shared" si="51"/>
        <v>467.2471924272552</v>
      </c>
      <c r="S713" s="29">
        <v>14736.15</v>
      </c>
      <c r="T713" s="24" t="s">
        <v>1359</v>
      </c>
      <c r="U713" s="83">
        <v>6.3</v>
      </c>
      <c r="V713" s="296">
        <v>2019</v>
      </c>
    </row>
    <row r="714" spans="1:22" ht="30" customHeight="1">
      <c r="A714" s="70">
        <v>271</v>
      </c>
      <c r="B714" s="82" t="s">
        <v>1292</v>
      </c>
      <c r="C714" s="24">
        <v>1955</v>
      </c>
      <c r="D714" s="24"/>
      <c r="E714" s="24" t="s">
        <v>374</v>
      </c>
      <c r="F714" s="24">
        <v>4</v>
      </c>
      <c r="G714" s="24">
        <v>2</v>
      </c>
      <c r="H714" s="37">
        <f>I714+356.7</f>
        <v>3929.6</v>
      </c>
      <c r="I714" s="37">
        <v>3572.9</v>
      </c>
      <c r="J714" s="37">
        <v>3512.6</v>
      </c>
      <c r="K714" s="36">
        <v>83</v>
      </c>
      <c r="L714" s="24" t="s">
        <v>105</v>
      </c>
      <c r="M714" s="287">
        <v>23413610.2</v>
      </c>
      <c r="N714" s="288">
        <v>23413610.2</v>
      </c>
      <c r="O714" s="288">
        <f t="shared" si="52"/>
        <v>0</v>
      </c>
      <c r="P714" s="288"/>
      <c r="Q714" s="287">
        <v>23413610.2</v>
      </c>
      <c r="R714" s="37">
        <f t="shared" si="51"/>
        <v>6553.110974278597</v>
      </c>
      <c r="S714" s="29">
        <v>14736.15</v>
      </c>
      <c r="T714" s="24" t="s">
        <v>1359</v>
      </c>
      <c r="U714" s="83">
        <v>6.3</v>
      </c>
      <c r="V714" s="296">
        <v>2019</v>
      </c>
    </row>
    <row r="715" spans="1:22" ht="30" customHeight="1">
      <c r="A715" s="70">
        <v>272</v>
      </c>
      <c r="B715" s="82" t="s">
        <v>407</v>
      </c>
      <c r="C715" s="24">
        <v>1930</v>
      </c>
      <c r="D715" s="24">
        <v>2018</v>
      </c>
      <c r="E715" s="24" t="s">
        <v>374</v>
      </c>
      <c r="F715" s="24">
        <v>3</v>
      </c>
      <c r="G715" s="24">
        <v>3</v>
      </c>
      <c r="H715" s="37">
        <f>I715+126</f>
        <v>1366.2</v>
      </c>
      <c r="I715" s="37">
        <v>1240.2</v>
      </c>
      <c r="J715" s="37">
        <v>950.57</v>
      </c>
      <c r="K715" s="36">
        <v>42</v>
      </c>
      <c r="L715" s="24" t="s">
        <v>1280</v>
      </c>
      <c r="M715" s="287">
        <v>4083834.21</v>
      </c>
      <c r="N715" s="288">
        <v>4083834.21</v>
      </c>
      <c r="O715" s="288">
        <f t="shared" si="52"/>
        <v>0</v>
      </c>
      <c r="P715" s="288"/>
      <c r="Q715" s="287">
        <v>4083834.21</v>
      </c>
      <c r="R715" s="37">
        <f t="shared" si="51"/>
        <v>3292.8835752298014</v>
      </c>
      <c r="S715" s="29">
        <v>14736.15</v>
      </c>
      <c r="T715" s="24" t="s">
        <v>1359</v>
      </c>
      <c r="U715" s="83">
        <v>6.3</v>
      </c>
      <c r="V715" s="296">
        <v>2019</v>
      </c>
    </row>
    <row r="716" spans="1:22" ht="30" customHeight="1">
      <c r="A716" s="70">
        <v>273</v>
      </c>
      <c r="B716" s="82" t="s">
        <v>55</v>
      </c>
      <c r="C716" s="24">
        <v>1990</v>
      </c>
      <c r="D716" s="24"/>
      <c r="E716" s="24" t="s">
        <v>374</v>
      </c>
      <c r="F716" s="24">
        <v>4</v>
      </c>
      <c r="G716" s="24">
        <v>10</v>
      </c>
      <c r="H716" s="37">
        <f>I716+1109.8</f>
        <v>9732.369999999999</v>
      </c>
      <c r="I716" s="37">
        <v>8622.57</v>
      </c>
      <c r="J716" s="37">
        <v>6696.07</v>
      </c>
      <c r="K716" s="36">
        <v>231</v>
      </c>
      <c r="L716" s="24" t="s">
        <v>105</v>
      </c>
      <c r="M716" s="287">
        <v>7193583</v>
      </c>
      <c r="N716" s="288">
        <v>7193583</v>
      </c>
      <c r="O716" s="288">
        <f t="shared" si="52"/>
        <v>0</v>
      </c>
      <c r="P716" s="288"/>
      <c r="Q716" s="287">
        <v>7193583</v>
      </c>
      <c r="R716" s="37">
        <f t="shared" si="51"/>
        <v>834.2736562301031</v>
      </c>
      <c r="S716" s="29">
        <v>14736.15</v>
      </c>
      <c r="T716" s="24" t="s">
        <v>1359</v>
      </c>
      <c r="U716" s="83">
        <v>6.3</v>
      </c>
      <c r="V716" s="296">
        <v>2019</v>
      </c>
    </row>
    <row r="717" spans="1:22" ht="30" customHeight="1">
      <c r="A717" s="70">
        <v>274</v>
      </c>
      <c r="B717" s="82" t="s">
        <v>56</v>
      </c>
      <c r="C717" s="24">
        <v>1956</v>
      </c>
      <c r="D717" s="24"/>
      <c r="E717" s="24" t="s">
        <v>374</v>
      </c>
      <c r="F717" s="24">
        <v>4</v>
      </c>
      <c r="G717" s="24">
        <v>4</v>
      </c>
      <c r="H717" s="37">
        <f>I717+291.4</f>
        <v>2509.2000000000003</v>
      </c>
      <c r="I717" s="37">
        <v>2217.8</v>
      </c>
      <c r="J717" s="37">
        <v>1882.9</v>
      </c>
      <c r="K717" s="36">
        <v>62</v>
      </c>
      <c r="L717" s="24" t="s">
        <v>105</v>
      </c>
      <c r="M717" s="287">
        <v>13214237.8</v>
      </c>
      <c r="N717" s="288">
        <v>13214237.8</v>
      </c>
      <c r="O717" s="288">
        <f t="shared" si="52"/>
        <v>0</v>
      </c>
      <c r="P717" s="288"/>
      <c r="Q717" s="287">
        <v>13214237.8</v>
      </c>
      <c r="R717" s="37">
        <f t="shared" si="51"/>
        <v>5958.263955270989</v>
      </c>
      <c r="S717" s="29">
        <v>14736.15</v>
      </c>
      <c r="T717" s="24" t="s">
        <v>1359</v>
      </c>
      <c r="U717" s="83">
        <v>6.3</v>
      </c>
      <c r="V717" s="296">
        <v>2019</v>
      </c>
    </row>
    <row r="718" spans="1:22" ht="30" customHeight="1">
      <c r="A718" s="70">
        <v>275</v>
      </c>
      <c r="B718" s="82" t="s">
        <v>1176</v>
      </c>
      <c r="C718" s="24">
        <v>1973</v>
      </c>
      <c r="D718" s="24"/>
      <c r="E718" s="24" t="s">
        <v>374</v>
      </c>
      <c r="F718" s="24">
        <v>9</v>
      </c>
      <c r="G718" s="24">
        <v>2</v>
      </c>
      <c r="H718" s="37">
        <f>I718+358.2</f>
        <v>3652.2</v>
      </c>
      <c r="I718" s="37">
        <v>3294</v>
      </c>
      <c r="J718" s="37">
        <v>3101.3</v>
      </c>
      <c r="K718" s="36">
        <v>130</v>
      </c>
      <c r="L718" s="24" t="s">
        <v>105</v>
      </c>
      <c r="M718" s="37">
        <v>3834222.6</v>
      </c>
      <c r="N718" s="109">
        <v>3834222.6</v>
      </c>
      <c r="O718" s="109">
        <f t="shared" si="52"/>
        <v>0</v>
      </c>
      <c r="P718" s="109"/>
      <c r="Q718" s="37">
        <v>3834222.6</v>
      </c>
      <c r="R718" s="37">
        <f t="shared" si="51"/>
        <v>1164.0020036429873</v>
      </c>
      <c r="S718" s="29">
        <v>14736.15</v>
      </c>
      <c r="T718" s="24" t="s">
        <v>1359</v>
      </c>
      <c r="U718" s="83">
        <v>6.3</v>
      </c>
      <c r="V718" s="296">
        <v>2019</v>
      </c>
    </row>
    <row r="719" spans="1:22" ht="44.25" customHeight="1">
      <c r="A719" s="70">
        <v>276</v>
      </c>
      <c r="B719" s="82" t="s">
        <v>1177</v>
      </c>
      <c r="C719" s="24">
        <v>1972</v>
      </c>
      <c r="D719" s="24"/>
      <c r="E719" s="24" t="s">
        <v>374</v>
      </c>
      <c r="F719" s="24">
        <v>9</v>
      </c>
      <c r="G719" s="24">
        <v>2</v>
      </c>
      <c r="H719" s="37">
        <f>I719+358.2</f>
        <v>3770</v>
      </c>
      <c r="I719" s="37">
        <v>3411.8</v>
      </c>
      <c r="J719" s="37">
        <v>3153</v>
      </c>
      <c r="K719" s="36">
        <v>142</v>
      </c>
      <c r="L719" s="24" t="s">
        <v>105</v>
      </c>
      <c r="M719" s="37">
        <v>3693006.72</v>
      </c>
      <c r="N719" s="109">
        <v>3693006.72</v>
      </c>
      <c r="O719" s="109">
        <f t="shared" si="52"/>
        <v>0</v>
      </c>
      <c r="P719" s="109"/>
      <c r="Q719" s="37">
        <v>3693006.72</v>
      </c>
      <c r="R719" s="37">
        <f t="shared" si="51"/>
        <v>1082.4218066709655</v>
      </c>
      <c r="S719" s="29">
        <v>14736.15</v>
      </c>
      <c r="T719" s="24" t="s">
        <v>1359</v>
      </c>
      <c r="U719" s="83">
        <v>6.3</v>
      </c>
      <c r="V719" s="296">
        <v>2019</v>
      </c>
    </row>
    <row r="720" spans="1:22" ht="30" customHeight="1">
      <c r="A720" s="70">
        <v>277</v>
      </c>
      <c r="B720" s="82" t="s">
        <v>57</v>
      </c>
      <c r="C720" s="24">
        <v>1957</v>
      </c>
      <c r="D720" s="24"/>
      <c r="E720" s="24" t="s">
        <v>374</v>
      </c>
      <c r="F720" s="24">
        <v>5</v>
      </c>
      <c r="G720" s="24">
        <v>3</v>
      </c>
      <c r="H720" s="37">
        <f>I720+306.9</f>
        <v>4544.889999999999</v>
      </c>
      <c r="I720" s="37">
        <v>4237.99</v>
      </c>
      <c r="J720" s="37">
        <v>3429.69</v>
      </c>
      <c r="K720" s="36">
        <v>132</v>
      </c>
      <c r="L720" s="24" t="s">
        <v>105</v>
      </c>
      <c r="M720" s="37">
        <v>4807603.9</v>
      </c>
      <c r="N720" s="109">
        <v>4807603.9</v>
      </c>
      <c r="O720" s="109">
        <f t="shared" si="52"/>
        <v>0</v>
      </c>
      <c r="P720" s="109"/>
      <c r="Q720" s="37">
        <v>4807603.9</v>
      </c>
      <c r="R720" s="37">
        <f t="shared" si="51"/>
        <v>1134.4066172879125</v>
      </c>
      <c r="S720" s="29">
        <v>14736.15</v>
      </c>
      <c r="T720" s="24" t="s">
        <v>1359</v>
      </c>
      <c r="U720" s="83">
        <v>6.3</v>
      </c>
      <c r="V720" s="296">
        <v>2019</v>
      </c>
    </row>
    <row r="721" spans="1:22" ht="30" customHeight="1">
      <c r="A721" s="70">
        <v>278</v>
      </c>
      <c r="B721" s="82" t="s">
        <v>900</v>
      </c>
      <c r="C721" s="24">
        <v>1955</v>
      </c>
      <c r="D721" s="24"/>
      <c r="E721" s="24" t="s">
        <v>374</v>
      </c>
      <c r="F721" s="24">
        <v>4</v>
      </c>
      <c r="G721" s="24">
        <v>3</v>
      </c>
      <c r="H721" s="37">
        <f>I721+277.2</f>
        <v>3319.1</v>
      </c>
      <c r="I721" s="37">
        <v>3041.9</v>
      </c>
      <c r="J721" s="37">
        <v>2487.9</v>
      </c>
      <c r="K721" s="36">
        <v>96</v>
      </c>
      <c r="L721" s="24" t="s">
        <v>105</v>
      </c>
      <c r="M721" s="37">
        <v>3975729.95</v>
      </c>
      <c r="N721" s="109">
        <v>3975729.95</v>
      </c>
      <c r="O721" s="109">
        <f t="shared" si="52"/>
        <v>0</v>
      </c>
      <c r="P721" s="109"/>
      <c r="Q721" s="37">
        <v>3975729.95</v>
      </c>
      <c r="R721" s="37">
        <f t="shared" si="51"/>
        <v>1306.9890364574774</v>
      </c>
      <c r="S721" s="29">
        <v>14736.15</v>
      </c>
      <c r="T721" s="24" t="s">
        <v>1359</v>
      </c>
      <c r="U721" s="83">
        <v>6.3</v>
      </c>
      <c r="V721" s="296">
        <v>2019</v>
      </c>
    </row>
    <row r="722" spans="1:22" ht="30" customHeight="1">
      <c r="A722" s="70">
        <v>279</v>
      </c>
      <c r="B722" s="82" t="s">
        <v>901</v>
      </c>
      <c r="C722" s="24">
        <v>1959</v>
      </c>
      <c r="D722" s="24"/>
      <c r="E722" s="24" t="s">
        <v>374</v>
      </c>
      <c r="F722" s="24">
        <v>5</v>
      </c>
      <c r="G722" s="24">
        <v>3</v>
      </c>
      <c r="H722" s="37">
        <f>I722+440.4</f>
        <v>3251</v>
      </c>
      <c r="I722" s="37">
        <v>2810.6</v>
      </c>
      <c r="J722" s="37">
        <v>2354.26</v>
      </c>
      <c r="K722" s="36">
        <v>109</v>
      </c>
      <c r="L722" s="24" t="s">
        <v>105</v>
      </c>
      <c r="M722" s="37">
        <v>3493691.48</v>
      </c>
      <c r="N722" s="109">
        <v>3493691.48</v>
      </c>
      <c r="O722" s="109">
        <f t="shared" si="52"/>
        <v>0</v>
      </c>
      <c r="P722" s="109"/>
      <c r="Q722" s="37">
        <v>3493691.48</v>
      </c>
      <c r="R722" s="37">
        <f t="shared" si="51"/>
        <v>1243.0411584715007</v>
      </c>
      <c r="S722" s="29">
        <v>14736.15</v>
      </c>
      <c r="T722" s="24" t="s">
        <v>1359</v>
      </c>
      <c r="U722" s="83">
        <v>6.3</v>
      </c>
      <c r="V722" s="296">
        <v>2019</v>
      </c>
    </row>
    <row r="723" spans="1:22" ht="103.5" customHeight="1">
      <c r="A723" s="70">
        <v>280</v>
      </c>
      <c r="B723" s="82" t="s">
        <v>83</v>
      </c>
      <c r="C723" s="24">
        <v>1972</v>
      </c>
      <c r="D723" s="24"/>
      <c r="E723" s="24" t="s">
        <v>494</v>
      </c>
      <c r="F723" s="24">
        <v>5</v>
      </c>
      <c r="G723" s="24">
        <v>5</v>
      </c>
      <c r="H723" s="37">
        <f>I723+350</f>
        <v>4160.8</v>
      </c>
      <c r="I723" s="37">
        <v>3810.8</v>
      </c>
      <c r="J723" s="37">
        <v>3481.2</v>
      </c>
      <c r="K723" s="36">
        <v>176</v>
      </c>
      <c r="L723" s="24" t="s">
        <v>63</v>
      </c>
      <c r="M723" s="37">
        <v>3278479.93</v>
      </c>
      <c r="N723" s="109">
        <v>3278479.93</v>
      </c>
      <c r="O723" s="109">
        <f t="shared" si="52"/>
        <v>0</v>
      </c>
      <c r="P723" s="109"/>
      <c r="Q723" s="37">
        <v>3278479.93</v>
      </c>
      <c r="R723" s="37">
        <f t="shared" si="51"/>
        <v>860.312776844757</v>
      </c>
      <c r="S723" s="29">
        <v>14736.15</v>
      </c>
      <c r="T723" s="24" t="s">
        <v>1359</v>
      </c>
      <c r="U723" s="83">
        <v>6.3</v>
      </c>
      <c r="V723" s="296">
        <v>2019</v>
      </c>
    </row>
    <row r="724" spans="1:22" ht="30" customHeight="1">
      <c r="A724" s="70">
        <v>281</v>
      </c>
      <c r="B724" s="82" t="s">
        <v>903</v>
      </c>
      <c r="C724" s="24">
        <v>1965</v>
      </c>
      <c r="D724" s="24"/>
      <c r="E724" s="24" t="s">
        <v>374</v>
      </c>
      <c r="F724" s="24">
        <v>5</v>
      </c>
      <c r="G724" s="24">
        <v>5</v>
      </c>
      <c r="H724" s="37">
        <v>5549.3</v>
      </c>
      <c r="I724" s="37">
        <v>5139.3</v>
      </c>
      <c r="J724" s="37">
        <v>5139.3</v>
      </c>
      <c r="K724" s="36">
        <v>189</v>
      </c>
      <c r="L724" s="24" t="s">
        <v>489</v>
      </c>
      <c r="M724" s="37">
        <v>5415462.07</v>
      </c>
      <c r="N724" s="109">
        <v>5415462.07</v>
      </c>
      <c r="O724" s="109">
        <f t="shared" si="52"/>
        <v>0</v>
      </c>
      <c r="P724" s="109"/>
      <c r="Q724" s="37">
        <v>5415462.07</v>
      </c>
      <c r="R724" s="37">
        <f t="shared" si="51"/>
        <v>1053.735347226276</v>
      </c>
      <c r="S724" s="29">
        <v>14736.15</v>
      </c>
      <c r="T724" s="24" t="s">
        <v>1359</v>
      </c>
      <c r="U724" s="83">
        <v>6.3</v>
      </c>
      <c r="V724" s="296">
        <v>2019</v>
      </c>
    </row>
    <row r="725" spans="1:22" ht="60.75" customHeight="1">
      <c r="A725" s="70">
        <v>282</v>
      </c>
      <c r="B725" s="82" t="s">
        <v>904</v>
      </c>
      <c r="C725" s="24">
        <v>1986</v>
      </c>
      <c r="D725" s="24"/>
      <c r="E725" s="24" t="s">
        <v>494</v>
      </c>
      <c r="F725" s="24">
        <v>5</v>
      </c>
      <c r="G725" s="24">
        <v>3</v>
      </c>
      <c r="H725" s="37">
        <f>3307.5+388.5</f>
        <v>3696</v>
      </c>
      <c r="I725" s="37">
        <v>3307.5</v>
      </c>
      <c r="J725" s="37">
        <v>3186.6</v>
      </c>
      <c r="K725" s="36">
        <v>161</v>
      </c>
      <c r="L725" s="24" t="s">
        <v>496</v>
      </c>
      <c r="M725" s="37">
        <v>2521296.47</v>
      </c>
      <c r="N725" s="109">
        <v>2521296.4699999997</v>
      </c>
      <c r="O725" s="109">
        <f t="shared" si="52"/>
        <v>0</v>
      </c>
      <c r="P725" s="109"/>
      <c r="Q725" s="37">
        <v>2521296.47</v>
      </c>
      <c r="R725" s="37">
        <f t="shared" si="51"/>
        <v>762.2967407407408</v>
      </c>
      <c r="S725" s="29">
        <v>14736.15</v>
      </c>
      <c r="T725" s="24" t="s">
        <v>1359</v>
      </c>
      <c r="U725" s="83">
        <v>6.3</v>
      </c>
      <c r="V725" s="296">
        <v>2019</v>
      </c>
    </row>
    <row r="726" spans="1:22" ht="101.25" customHeight="1">
      <c r="A726" s="70">
        <v>283</v>
      </c>
      <c r="B726" s="82" t="s">
        <v>84</v>
      </c>
      <c r="C726" s="24">
        <v>1970</v>
      </c>
      <c r="D726" s="24"/>
      <c r="E726" s="24" t="s">
        <v>494</v>
      </c>
      <c r="F726" s="24">
        <v>5</v>
      </c>
      <c r="G726" s="24">
        <v>7</v>
      </c>
      <c r="H726" s="37">
        <f>I726+548.1</f>
        <v>6951.8</v>
      </c>
      <c r="I726" s="37">
        <v>6403.7</v>
      </c>
      <c r="J726" s="37">
        <v>5553.02</v>
      </c>
      <c r="K726" s="36">
        <v>344</v>
      </c>
      <c r="L726" s="24" t="s">
        <v>58</v>
      </c>
      <c r="M726" s="37">
        <v>4234120.41</v>
      </c>
      <c r="N726" s="109">
        <v>4234120.41</v>
      </c>
      <c r="O726" s="109">
        <f t="shared" si="52"/>
        <v>0</v>
      </c>
      <c r="P726" s="109"/>
      <c r="Q726" s="37">
        <v>4234120.41</v>
      </c>
      <c r="R726" s="37">
        <f t="shared" si="51"/>
        <v>661.1990583568875</v>
      </c>
      <c r="S726" s="29">
        <v>14736.15</v>
      </c>
      <c r="T726" s="24" t="s">
        <v>1359</v>
      </c>
      <c r="U726" s="83">
        <v>6.3</v>
      </c>
      <c r="V726" s="296">
        <v>2019</v>
      </c>
    </row>
    <row r="727" spans="1:22" ht="112.5" customHeight="1">
      <c r="A727" s="70">
        <v>284</v>
      </c>
      <c r="B727" s="82" t="s">
        <v>906</v>
      </c>
      <c r="C727" s="24">
        <v>1975</v>
      </c>
      <c r="D727" s="24"/>
      <c r="E727" s="24" t="s">
        <v>374</v>
      </c>
      <c r="F727" s="24">
        <v>5</v>
      </c>
      <c r="G727" s="24">
        <v>6</v>
      </c>
      <c r="H727" s="37">
        <v>4239.3</v>
      </c>
      <c r="I727" s="37">
        <v>3765.2</v>
      </c>
      <c r="J727" s="37">
        <v>3567</v>
      </c>
      <c r="K727" s="36">
        <v>190</v>
      </c>
      <c r="L727" s="24" t="s">
        <v>1146</v>
      </c>
      <c r="M727" s="37">
        <v>4413984.25</v>
      </c>
      <c r="N727" s="109">
        <v>4413984.25</v>
      </c>
      <c r="O727" s="109">
        <f t="shared" si="52"/>
        <v>0</v>
      </c>
      <c r="P727" s="109"/>
      <c r="Q727" s="37">
        <v>4413984.25</v>
      </c>
      <c r="R727" s="37">
        <f t="shared" si="51"/>
        <v>1172.3107006267928</v>
      </c>
      <c r="S727" s="29">
        <v>14736.15</v>
      </c>
      <c r="T727" s="24" t="s">
        <v>1359</v>
      </c>
      <c r="U727" s="83">
        <v>6.3</v>
      </c>
      <c r="V727" s="296">
        <v>2019</v>
      </c>
    </row>
    <row r="728" spans="1:22" ht="90">
      <c r="A728" s="70">
        <v>285</v>
      </c>
      <c r="B728" s="99" t="s">
        <v>48</v>
      </c>
      <c r="C728" s="35">
        <v>1980</v>
      </c>
      <c r="D728" s="35"/>
      <c r="E728" s="24" t="s">
        <v>494</v>
      </c>
      <c r="F728" s="35">
        <v>9</v>
      </c>
      <c r="G728" s="35">
        <v>7</v>
      </c>
      <c r="H728" s="37">
        <f>13766.79+2203.2</f>
        <v>15969.990000000002</v>
      </c>
      <c r="I728" s="37">
        <f>13764.69</f>
        <v>13764.69</v>
      </c>
      <c r="J728" s="37">
        <v>13027.3</v>
      </c>
      <c r="K728" s="36">
        <v>649</v>
      </c>
      <c r="L728" s="29" t="s">
        <v>1548</v>
      </c>
      <c r="M728" s="37">
        <v>4223888.09</v>
      </c>
      <c r="N728" s="109">
        <v>4223888.09</v>
      </c>
      <c r="O728" s="109">
        <f t="shared" si="52"/>
        <v>0</v>
      </c>
      <c r="P728" s="37"/>
      <c r="Q728" s="37">
        <v>4223888.09</v>
      </c>
      <c r="R728" s="37">
        <f t="shared" si="51"/>
        <v>306.8640187319874</v>
      </c>
      <c r="S728" s="29">
        <v>14736.15</v>
      </c>
      <c r="T728" s="24" t="s">
        <v>1359</v>
      </c>
      <c r="U728" s="83">
        <v>6.3</v>
      </c>
      <c r="V728" s="296">
        <v>2019</v>
      </c>
    </row>
    <row r="729" spans="1:22" ht="165">
      <c r="A729" s="70">
        <v>286</v>
      </c>
      <c r="B729" s="99" t="s">
        <v>908</v>
      </c>
      <c r="C729" s="35">
        <v>1976</v>
      </c>
      <c r="D729" s="35"/>
      <c r="E729" s="24" t="s">
        <v>494</v>
      </c>
      <c r="F729" s="35">
        <v>5</v>
      </c>
      <c r="G729" s="35">
        <v>4</v>
      </c>
      <c r="H729" s="37">
        <f>3031.7+344</f>
        <v>3375.7</v>
      </c>
      <c r="I729" s="37">
        <f>3031.7</f>
        <v>3031.7</v>
      </c>
      <c r="J729" s="37">
        <v>2816.17</v>
      </c>
      <c r="K729" s="36">
        <v>140</v>
      </c>
      <c r="L729" s="29" t="s">
        <v>1549</v>
      </c>
      <c r="M729" s="37">
        <v>3368023.91</v>
      </c>
      <c r="N729" s="109">
        <v>3368023.91</v>
      </c>
      <c r="O729" s="109">
        <f t="shared" si="52"/>
        <v>0</v>
      </c>
      <c r="P729" s="37"/>
      <c r="Q729" s="37">
        <v>3368023.91</v>
      </c>
      <c r="R729" s="37">
        <f t="shared" si="51"/>
        <v>1110.9357489197482</v>
      </c>
      <c r="S729" s="29">
        <v>14736.15</v>
      </c>
      <c r="T729" s="24" t="s">
        <v>1359</v>
      </c>
      <c r="U729" s="83">
        <v>6.3</v>
      </c>
      <c r="V729" s="296">
        <v>2019</v>
      </c>
    </row>
    <row r="730" spans="1:22" ht="30" customHeight="1">
      <c r="A730" s="70">
        <v>287</v>
      </c>
      <c r="B730" s="82" t="s">
        <v>1293</v>
      </c>
      <c r="C730" s="24">
        <v>1968</v>
      </c>
      <c r="D730" s="24"/>
      <c r="E730" s="24" t="s">
        <v>374</v>
      </c>
      <c r="F730" s="24">
        <v>5</v>
      </c>
      <c r="G730" s="24">
        <v>4</v>
      </c>
      <c r="H730" s="37">
        <f>I730+240</f>
        <v>3981.4</v>
      </c>
      <c r="I730" s="37">
        <v>3741.4</v>
      </c>
      <c r="J730" s="37">
        <v>3687.1</v>
      </c>
      <c r="K730" s="36">
        <v>148</v>
      </c>
      <c r="L730" s="24" t="s">
        <v>489</v>
      </c>
      <c r="M730" s="37">
        <v>3665960.33</v>
      </c>
      <c r="N730" s="109">
        <v>3665960.33</v>
      </c>
      <c r="O730" s="109">
        <f t="shared" si="52"/>
        <v>0</v>
      </c>
      <c r="P730" s="37"/>
      <c r="Q730" s="37">
        <v>3665960.33</v>
      </c>
      <c r="R730" s="37">
        <f t="shared" si="51"/>
        <v>979.8365130699738</v>
      </c>
      <c r="S730" s="29">
        <v>14736.15</v>
      </c>
      <c r="T730" s="24" t="s">
        <v>1359</v>
      </c>
      <c r="U730" s="83">
        <v>6.3</v>
      </c>
      <c r="V730" s="296">
        <v>2019</v>
      </c>
    </row>
    <row r="731" spans="1:22" ht="30" customHeight="1">
      <c r="A731" s="70">
        <v>288</v>
      </c>
      <c r="B731" s="99" t="s">
        <v>245</v>
      </c>
      <c r="C731" s="35">
        <v>1986</v>
      </c>
      <c r="D731" s="35"/>
      <c r="E731" s="29" t="s">
        <v>374</v>
      </c>
      <c r="F731" s="35">
        <v>5</v>
      </c>
      <c r="G731" s="35">
        <v>6</v>
      </c>
      <c r="H731" s="37">
        <v>4343.1</v>
      </c>
      <c r="I731" s="37">
        <v>3868.9</v>
      </c>
      <c r="J731" s="37">
        <v>3475.1</v>
      </c>
      <c r="K731" s="36">
        <v>208</v>
      </c>
      <c r="L731" s="24" t="s">
        <v>489</v>
      </c>
      <c r="M731" s="37">
        <v>1948916.6</v>
      </c>
      <c r="N731" s="109">
        <v>1948916.6</v>
      </c>
      <c r="O731" s="109">
        <f t="shared" si="52"/>
        <v>0</v>
      </c>
      <c r="P731" s="37"/>
      <c r="Q731" s="37">
        <v>1948916.6</v>
      </c>
      <c r="R731" s="37">
        <f t="shared" si="51"/>
        <v>503.73920235725916</v>
      </c>
      <c r="S731" s="29">
        <v>14736.15</v>
      </c>
      <c r="T731" s="24" t="s">
        <v>1359</v>
      </c>
      <c r="U731" s="83">
        <v>6.3</v>
      </c>
      <c r="V731" s="296">
        <v>2019</v>
      </c>
    </row>
    <row r="732" spans="1:22" ht="30" customHeight="1">
      <c r="A732" s="70">
        <v>289</v>
      </c>
      <c r="B732" s="99" t="s">
        <v>1294</v>
      </c>
      <c r="C732" s="35">
        <v>1976</v>
      </c>
      <c r="D732" s="35"/>
      <c r="E732" s="29" t="s">
        <v>374</v>
      </c>
      <c r="F732" s="35">
        <v>5</v>
      </c>
      <c r="G732" s="35">
        <v>6</v>
      </c>
      <c r="H732" s="37">
        <v>4621.9</v>
      </c>
      <c r="I732" s="37">
        <v>4070.9</v>
      </c>
      <c r="J732" s="37">
        <v>3840.2</v>
      </c>
      <c r="K732" s="36">
        <v>223</v>
      </c>
      <c r="L732" s="24" t="s">
        <v>489</v>
      </c>
      <c r="M732" s="37">
        <v>2154733.98</v>
      </c>
      <c r="N732" s="109">
        <v>2154733.98</v>
      </c>
      <c r="O732" s="109">
        <f t="shared" si="52"/>
        <v>0</v>
      </c>
      <c r="P732" s="37"/>
      <c r="Q732" s="37">
        <v>2154733.98</v>
      </c>
      <c r="R732" s="37">
        <f t="shared" si="51"/>
        <v>529.3016237195706</v>
      </c>
      <c r="S732" s="29">
        <v>14736.15</v>
      </c>
      <c r="T732" s="24" t="s">
        <v>1359</v>
      </c>
      <c r="U732" s="83">
        <v>6.3</v>
      </c>
      <c r="V732" s="296">
        <v>2019</v>
      </c>
    </row>
    <row r="733" spans="1:22" ht="165">
      <c r="A733" s="70">
        <v>290</v>
      </c>
      <c r="B733" s="99" t="s">
        <v>997</v>
      </c>
      <c r="C733" s="35">
        <v>1976</v>
      </c>
      <c r="D733" s="35"/>
      <c r="E733" s="24" t="s">
        <v>494</v>
      </c>
      <c r="F733" s="35">
        <v>5</v>
      </c>
      <c r="G733" s="35">
        <v>4</v>
      </c>
      <c r="H733" s="37">
        <f>3030.7+344</f>
        <v>3374.7</v>
      </c>
      <c r="I733" s="37">
        <f>3030.7</f>
        <v>3030.7</v>
      </c>
      <c r="J733" s="37">
        <v>2699.6</v>
      </c>
      <c r="K733" s="36">
        <v>145</v>
      </c>
      <c r="L733" s="29" t="s">
        <v>1549</v>
      </c>
      <c r="M733" s="37">
        <v>3664325.76</v>
      </c>
      <c r="N733" s="109">
        <v>3664325.7600000002</v>
      </c>
      <c r="O733" s="109">
        <f t="shared" si="52"/>
        <v>0</v>
      </c>
      <c r="P733" s="37"/>
      <c r="Q733" s="37">
        <v>3664325.76</v>
      </c>
      <c r="R733" s="37">
        <f t="shared" si="51"/>
        <v>1209.0691127462303</v>
      </c>
      <c r="S733" s="29">
        <v>14736.15</v>
      </c>
      <c r="T733" s="24" t="s">
        <v>1359</v>
      </c>
      <c r="U733" s="83">
        <v>6.3</v>
      </c>
      <c r="V733" s="296">
        <v>2019</v>
      </c>
    </row>
    <row r="734" spans="1:22" ht="48" customHeight="1">
      <c r="A734" s="70">
        <v>291</v>
      </c>
      <c r="B734" s="99" t="s">
        <v>807</v>
      </c>
      <c r="C734" s="35">
        <v>1976</v>
      </c>
      <c r="D734" s="35"/>
      <c r="E734" s="29" t="s">
        <v>374</v>
      </c>
      <c r="F734" s="35">
        <v>5</v>
      </c>
      <c r="G734" s="35">
        <v>4</v>
      </c>
      <c r="H734" s="37">
        <f>I734+366</f>
        <v>3629.2</v>
      </c>
      <c r="I734" s="37">
        <v>3263.2</v>
      </c>
      <c r="J734" s="37">
        <v>2589.4</v>
      </c>
      <c r="K734" s="36">
        <v>171</v>
      </c>
      <c r="L734" s="24" t="s">
        <v>384</v>
      </c>
      <c r="M734" s="37">
        <v>1347617.73</v>
      </c>
      <c r="N734" s="109">
        <v>1347617.73</v>
      </c>
      <c r="O734" s="109">
        <f t="shared" si="52"/>
        <v>0</v>
      </c>
      <c r="P734" s="37"/>
      <c r="Q734" s="37">
        <v>1347617.73</v>
      </c>
      <c r="R734" s="37">
        <f t="shared" si="51"/>
        <v>412.9742982348615</v>
      </c>
      <c r="S734" s="29">
        <v>14736.15</v>
      </c>
      <c r="T734" s="24" t="s">
        <v>1359</v>
      </c>
      <c r="U734" s="83">
        <v>6.3</v>
      </c>
      <c r="V734" s="296">
        <v>2019</v>
      </c>
    </row>
    <row r="735" spans="1:22" ht="30" customHeight="1">
      <c r="A735" s="70"/>
      <c r="B735" s="102" t="s">
        <v>866</v>
      </c>
      <c r="C735" s="99"/>
      <c r="D735" s="99"/>
      <c r="E735" s="99"/>
      <c r="F735" s="99"/>
      <c r="G735" s="99"/>
      <c r="H735" s="81">
        <f>SUM(H619:H734)</f>
        <v>452967.94999999995</v>
      </c>
      <c r="I735" s="81">
        <f>SUM(I619:I734)</f>
        <v>405788.0000000002</v>
      </c>
      <c r="J735" s="81">
        <f>SUM(J619:J734)</f>
        <v>366241.52</v>
      </c>
      <c r="K735" s="98">
        <f>SUM(K619:K734)</f>
        <v>18364</v>
      </c>
      <c r="L735" s="172"/>
      <c r="M735" s="81">
        <f>SUM(M619:M734)</f>
        <v>532072904.1400001</v>
      </c>
      <c r="N735" s="81"/>
      <c r="O735" s="109">
        <f t="shared" si="52"/>
        <v>532072904.1400001</v>
      </c>
      <c r="P735" s="81"/>
      <c r="Q735" s="81">
        <f>SUM(Q619:Q734)</f>
        <v>532072904.1400001</v>
      </c>
      <c r="R735" s="81">
        <f>M735/I735</f>
        <v>1311.2090651768901</v>
      </c>
      <c r="S735" s="172"/>
      <c r="T735" s="172"/>
      <c r="U735" s="173"/>
      <c r="V735" s="296"/>
    </row>
    <row r="736" spans="1:22" ht="15.75">
      <c r="A736" s="70"/>
      <c r="B736" s="127" t="s">
        <v>872</v>
      </c>
      <c r="C736" s="99"/>
      <c r="D736" s="99"/>
      <c r="E736" s="29"/>
      <c r="F736" s="99"/>
      <c r="G736" s="99"/>
      <c r="H736" s="81">
        <f>H403+H407+H415+H420+H427+H436+H440+H445+H456+H464+H468+H473+H487+H503+H506+H518+H522+H525+H533+H575+H608+H617+H735</f>
        <v>791506.5</v>
      </c>
      <c r="I736" s="81">
        <f>I403+I407+I415+I420+I427+I436+I440+I445+I456+I464+I468+I473+I487+I503+I506+I518+I522+I525+I533+I575+I608+I617+I735</f>
        <v>727014.6800000002</v>
      </c>
      <c r="J736" s="81">
        <f>J403+J407+J415+J420+J427+J436+J440+J445+J456+J464+J468+J473+J487+J503+J506+J518+J522+J525+J533+J575+J608+J617+J735</f>
        <v>636643.69</v>
      </c>
      <c r="K736" s="98">
        <f>K403+K407+K415+K420+K427+K436+K440+K445+K456+K464+K468+K473+K487+K503+K506+K518+K522+K525+K533+K575+K608+K617+K735</f>
        <v>34581</v>
      </c>
      <c r="L736" s="81"/>
      <c r="M736" s="81">
        <f>M403+M407+M415+M420+M427+M436+M440+M445+M456+M464+M468+M473+M487+M503+M506+M518+M522+M525+M533+M575+M608+M617+M735</f>
        <v>932923275.28</v>
      </c>
      <c r="N736" s="81"/>
      <c r="O736" s="81"/>
      <c r="P736" s="81"/>
      <c r="Q736" s="81">
        <f>Q403+Q407+Q415+Q420+Q427+Q436+Q440+Q445+Q456+Q464+Q468+Q473+Q487+Q503+Q506+Q518+Q522+Q525+Q533+Q575+Q608+Q617+Q735</f>
        <v>932923275.28</v>
      </c>
      <c r="R736" s="81">
        <f>R403+R407+R415+R420+R427+R436+R440+R445+R456+R464+R468+R473+R487+R503+R506+R518+R522+R525+R533+R575+R608+R617+R735</f>
        <v>51540.879524524986</v>
      </c>
      <c r="S736" s="99"/>
      <c r="T736" s="99"/>
      <c r="U736" s="118"/>
      <c r="V736" s="296"/>
    </row>
    <row r="737" spans="1:22" ht="15">
      <c r="A737" s="305" t="s">
        <v>1155</v>
      </c>
      <c r="B737" s="306"/>
      <c r="C737" s="306"/>
      <c r="D737" s="306"/>
      <c r="E737" s="306"/>
      <c r="F737" s="306"/>
      <c r="G737" s="306"/>
      <c r="H737" s="306"/>
      <c r="I737" s="306"/>
      <c r="J737" s="306"/>
      <c r="K737" s="306"/>
      <c r="L737" s="306"/>
      <c r="M737" s="306"/>
      <c r="N737" s="306"/>
      <c r="O737" s="306"/>
      <c r="P737" s="306"/>
      <c r="Q737" s="306"/>
      <c r="R737" s="306"/>
      <c r="S737" s="306"/>
      <c r="T737" s="306"/>
      <c r="U737" s="307"/>
      <c r="V737" s="296"/>
    </row>
    <row r="738" spans="1:22" ht="15">
      <c r="A738" s="300" t="s">
        <v>1368</v>
      </c>
      <c r="B738" s="301"/>
      <c r="C738" s="301"/>
      <c r="D738" s="301"/>
      <c r="E738" s="301"/>
      <c r="F738" s="301"/>
      <c r="G738" s="301"/>
      <c r="H738" s="301"/>
      <c r="I738" s="301"/>
      <c r="J738" s="301"/>
      <c r="K738" s="301"/>
      <c r="L738" s="301"/>
      <c r="M738" s="301"/>
      <c r="N738" s="301"/>
      <c r="O738" s="301"/>
      <c r="P738" s="301"/>
      <c r="Q738" s="302"/>
      <c r="R738" s="301"/>
      <c r="S738" s="301"/>
      <c r="T738" s="301"/>
      <c r="U738" s="303"/>
      <c r="V738" s="296"/>
    </row>
    <row r="739" spans="1:22" ht="45">
      <c r="A739" s="70">
        <v>1</v>
      </c>
      <c r="B739" s="82" t="s">
        <v>1612</v>
      </c>
      <c r="C739" s="62">
        <v>1970</v>
      </c>
      <c r="D739" s="62"/>
      <c r="E739" s="62" t="s">
        <v>374</v>
      </c>
      <c r="F739" s="62">
        <v>2</v>
      </c>
      <c r="G739" s="62">
        <v>2</v>
      </c>
      <c r="H739" s="63">
        <v>1032.7</v>
      </c>
      <c r="I739" s="63">
        <v>1032.7</v>
      </c>
      <c r="J739" s="63">
        <v>441</v>
      </c>
      <c r="K739" s="267">
        <v>33</v>
      </c>
      <c r="L739" s="62" t="s">
        <v>489</v>
      </c>
      <c r="M739" s="63">
        <v>1316043.66</v>
      </c>
      <c r="N739" s="62"/>
      <c r="O739" s="62"/>
      <c r="P739" s="63"/>
      <c r="Q739" s="63">
        <v>1316043.66</v>
      </c>
      <c r="R739" s="37">
        <v>1573.5</v>
      </c>
      <c r="S739" s="29">
        <v>14736.15</v>
      </c>
      <c r="T739" s="63" t="s">
        <v>1359</v>
      </c>
      <c r="U739" s="118">
        <v>6.3</v>
      </c>
      <c r="V739" s="296">
        <v>2020</v>
      </c>
    </row>
    <row r="740" spans="1:22" ht="15">
      <c r="A740" s="126"/>
      <c r="B740" s="112" t="s">
        <v>1436</v>
      </c>
      <c r="C740" s="99"/>
      <c r="D740" s="99"/>
      <c r="E740" s="29"/>
      <c r="F740" s="99"/>
      <c r="G740" s="99"/>
      <c r="H740" s="81">
        <f>SUM(H739:H739)</f>
        <v>1032.7</v>
      </c>
      <c r="I740" s="81">
        <f>SUM(I739:I739)</f>
        <v>1032.7</v>
      </c>
      <c r="J740" s="81">
        <f>SUM(J739:J739)</f>
        <v>441</v>
      </c>
      <c r="K740" s="98">
        <f>SUM(K739:K739)</f>
        <v>33</v>
      </c>
      <c r="L740" s="81"/>
      <c r="M740" s="81">
        <f>SUM(M739:M739)</f>
        <v>1316043.66</v>
      </c>
      <c r="N740" s="81"/>
      <c r="O740" s="81"/>
      <c r="P740" s="81"/>
      <c r="Q740" s="81">
        <f>SUM(Q739:Q739)</f>
        <v>1316043.66</v>
      </c>
      <c r="R740" s="81">
        <f>M740/I740</f>
        <v>1274.3717052386946</v>
      </c>
      <c r="S740" s="99"/>
      <c r="T740" s="99"/>
      <c r="U740" s="174"/>
      <c r="V740" s="296"/>
    </row>
    <row r="741" spans="1:22" ht="15">
      <c r="A741" s="300" t="s">
        <v>383</v>
      </c>
      <c r="B741" s="301"/>
      <c r="C741" s="301"/>
      <c r="D741" s="301"/>
      <c r="E741" s="301"/>
      <c r="F741" s="301"/>
      <c r="G741" s="301"/>
      <c r="H741" s="301"/>
      <c r="I741" s="301"/>
      <c r="J741" s="301"/>
      <c r="K741" s="301"/>
      <c r="L741" s="301"/>
      <c r="M741" s="301"/>
      <c r="N741" s="301"/>
      <c r="O741" s="301"/>
      <c r="P741" s="301"/>
      <c r="Q741" s="302"/>
      <c r="R741" s="301"/>
      <c r="S741" s="301"/>
      <c r="T741" s="301"/>
      <c r="U741" s="303"/>
      <c r="V741" s="296"/>
    </row>
    <row r="742" spans="1:22" ht="48" customHeight="1">
      <c r="A742" s="70">
        <v>2</v>
      </c>
      <c r="B742" s="82" t="s">
        <v>1467</v>
      </c>
      <c r="C742" s="24">
        <v>1977</v>
      </c>
      <c r="D742" s="24"/>
      <c r="E742" s="24" t="s">
        <v>374</v>
      </c>
      <c r="F742" s="24">
        <v>2</v>
      </c>
      <c r="G742" s="24">
        <v>3</v>
      </c>
      <c r="H742" s="37">
        <v>965.6</v>
      </c>
      <c r="I742" s="37">
        <v>882.4</v>
      </c>
      <c r="J742" s="37">
        <v>882.4</v>
      </c>
      <c r="K742" s="36">
        <v>34</v>
      </c>
      <c r="L742" s="62" t="s">
        <v>489</v>
      </c>
      <c r="M742" s="37">
        <v>2688828.19</v>
      </c>
      <c r="N742" s="37"/>
      <c r="O742" s="37"/>
      <c r="P742" s="37"/>
      <c r="Q742" s="37">
        <v>2688828.19</v>
      </c>
      <c r="R742" s="37">
        <f>M742/I742</f>
        <v>3047.1760992747054</v>
      </c>
      <c r="S742" s="29">
        <v>14736.15</v>
      </c>
      <c r="T742" s="24" t="s">
        <v>1359</v>
      </c>
      <c r="U742" s="118">
        <v>6.3</v>
      </c>
      <c r="V742" s="296">
        <v>2020</v>
      </c>
    </row>
    <row r="743" spans="1:22" ht="48" customHeight="1">
      <c r="A743" s="70">
        <v>3</v>
      </c>
      <c r="B743" s="82" t="s">
        <v>1527</v>
      </c>
      <c r="C743" s="24">
        <v>1970</v>
      </c>
      <c r="D743" s="24"/>
      <c r="E743" s="24" t="s">
        <v>374</v>
      </c>
      <c r="F743" s="24">
        <v>2</v>
      </c>
      <c r="G743" s="24">
        <v>1</v>
      </c>
      <c r="H743" s="37">
        <v>380.5</v>
      </c>
      <c r="I743" s="37">
        <v>348.5</v>
      </c>
      <c r="J743" s="37">
        <v>305.8</v>
      </c>
      <c r="K743" s="36">
        <v>18</v>
      </c>
      <c r="L743" s="24" t="s">
        <v>384</v>
      </c>
      <c r="M743" s="37">
        <v>184042.39</v>
      </c>
      <c r="N743" s="37"/>
      <c r="O743" s="37"/>
      <c r="P743" s="37"/>
      <c r="Q743" s="37">
        <v>184042.39</v>
      </c>
      <c r="R743" s="37">
        <f>M743/I743</f>
        <v>528.0986800573888</v>
      </c>
      <c r="S743" s="29">
        <v>14736.15</v>
      </c>
      <c r="T743" s="24" t="s">
        <v>1359</v>
      </c>
      <c r="U743" s="118">
        <v>6.3</v>
      </c>
      <c r="V743" s="296">
        <v>2020</v>
      </c>
    </row>
    <row r="744" spans="1:22" ht="15">
      <c r="A744" s="70"/>
      <c r="B744" s="84" t="s">
        <v>491</v>
      </c>
      <c r="C744" s="24"/>
      <c r="D744" s="24"/>
      <c r="E744" s="24"/>
      <c r="F744" s="24"/>
      <c r="G744" s="24"/>
      <c r="H744" s="81">
        <f>SUM(H742:H743)</f>
        <v>1346.1</v>
      </c>
      <c r="I744" s="81">
        <f>SUM(I742:I743)</f>
        <v>1230.9</v>
      </c>
      <c r="J744" s="81">
        <f>SUM(J742:J743)</f>
        <v>1188.2</v>
      </c>
      <c r="K744" s="98">
        <f>SUM(K742:K743)</f>
        <v>52</v>
      </c>
      <c r="L744" s="24"/>
      <c r="M744" s="81">
        <f>SUM(M742:M743)</f>
        <v>2872870.58</v>
      </c>
      <c r="N744" s="81"/>
      <c r="O744" s="81"/>
      <c r="P744" s="81"/>
      <c r="Q744" s="81">
        <f>SUM(Q742:Q743)</f>
        <v>2872870.58</v>
      </c>
      <c r="R744" s="81">
        <f>M744/I744</f>
        <v>2333.959363067674</v>
      </c>
      <c r="S744" s="29"/>
      <c r="T744" s="76"/>
      <c r="U744" s="175"/>
      <c r="V744" s="296"/>
    </row>
    <row r="745" spans="1:22" ht="15">
      <c r="A745" s="300" t="s">
        <v>1665</v>
      </c>
      <c r="B745" s="301"/>
      <c r="C745" s="301"/>
      <c r="D745" s="301"/>
      <c r="E745" s="301"/>
      <c r="F745" s="301"/>
      <c r="G745" s="301"/>
      <c r="H745" s="301"/>
      <c r="I745" s="301"/>
      <c r="J745" s="301"/>
      <c r="K745" s="301"/>
      <c r="L745" s="301"/>
      <c r="M745" s="301"/>
      <c r="N745" s="301"/>
      <c r="O745" s="301"/>
      <c r="P745" s="301"/>
      <c r="Q745" s="302"/>
      <c r="R745" s="301"/>
      <c r="S745" s="301"/>
      <c r="T745" s="301"/>
      <c r="U745" s="303"/>
      <c r="V745" s="296"/>
    </row>
    <row r="746" spans="1:22" ht="44.25" customHeight="1">
      <c r="A746" s="86">
        <v>4</v>
      </c>
      <c r="B746" s="87" t="s">
        <v>1468</v>
      </c>
      <c r="C746" s="67">
        <v>1983</v>
      </c>
      <c r="D746" s="67"/>
      <c r="E746" s="37" t="s">
        <v>374</v>
      </c>
      <c r="F746" s="36">
        <v>5</v>
      </c>
      <c r="G746" s="36">
        <v>1</v>
      </c>
      <c r="H746" s="37">
        <v>3911.06</v>
      </c>
      <c r="I746" s="37">
        <v>2671.13</v>
      </c>
      <c r="J746" s="37">
        <v>2373.38</v>
      </c>
      <c r="K746" s="36">
        <v>220</v>
      </c>
      <c r="L746" s="37" t="s">
        <v>384</v>
      </c>
      <c r="M746" s="37">
        <v>1845755.83</v>
      </c>
      <c r="N746" s="37"/>
      <c r="O746" s="37"/>
      <c r="P746" s="37"/>
      <c r="Q746" s="37">
        <v>1845755.83</v>
      </c>
      <c r="R746" s="37">
        <f aca="true" t="shared" si="53" ref="R746:R751">M746/I746</f>
        <v>691.0018718669627</v>
      </c>
      <c r="S746" s="29">
        <v>14736.15</v>
      </c>
      <c r="T746" s="29" t="s">
        <v>1359</v>
      </c>
      <c r="U746" s="118">
        <v>6.3</v>
      </c>
      <c r="V746" s="296">
        <v>2020</v>
      </c>
    </row>
    <row r="747" spans="1:22" ht="45">
      <c r="A747" s="86">
        <v>5</v>
      </c>
      <c r="B747" s="87" t="s">
        <v>558</v>
      </c>
      <c r="C747" s="67">
        <v>1981</v>
      </c>
      <c r="D747" s="67"/>
      <c r="E747" s="37" t="s">
        <v>374</v>
      </c>
      <c r="F747" s="36">
        <v>2</v>
      </c>
      <c r="G747" s="36">
        <v>2</v>
      </c>
      <c r="H747" s="37">
        <v>602.35</v>
      </c>
      <c r="I747" s="37">
        <v>556.4</v>
      </c>
      <c r="J747" s="37">
        <v>379.66</v>
      </c>
      <c r="K747" s="36">
        <v>19</v>
      </c>
      <c r="L747" s="37" t="s">
        <v>489</v>
      </c>
      <c r="M747" s="37">
        <v>1598165.87</v>
      </c>
      <c r="N747" s="37"/>
      <c r="O747" s="37"/>
      <c r="P747" s="37"/>
      <c r="Q747" s="37">
        <v>1598165.87</v>
      </c>
      <c r="R747" s="37">
        <f t="shared" si="53"/>
        <v>2872.3326204169666</v>
      </c>
      <c r="S747" s="29">
        <v>14736.15</v>
      </c>
      <c r="T747" s="29" t="s">
        <v>1359</v>
      </c>
      <c r="U747" s="118">
        <v>6.3</v>
      </c>
      <c r="V747" s="296">
        <v>2020</v>
      </c>
    </row>
    <row r="748" spans="1:22" ht="48.75" customHeight="1">
      <c r="A748" s="86">
        <v>6</v>
      </c>
      <c r="B748" s="87" t="s">
        <v>559</v>
      </c>
      <c r="C748" s="67">
        <v>1975</v>
      </c>
      <c r="D748" s="67"/>
      <c r="E748" s="37" t="s">
        <v>374</v>
      </c>
      <c r="F748" s="36">
        <v>2</v>
      </c>
      <c r="G748" s="36">
        <v>2</v>
      </c>
      <c r="H748" s="37">
        <v>583.14</v>
      </c>
      <c r="I748" s="37">
        <v>541.53</v>
      </c>
      <c r="J748" s="37">
        <v>541.53</v>
      </c>
      <c r="K748" s="36">
        <v>28</v>
      </c>
      <c r="L748" s="37" t="s">
        <v>489</v>
      </c>
      <c r="M748" s="37">
        <v>1617910.51</v>
      </c>
      <c r="N748" s="37"/>
      <c r="O748" s="37"/>
      <c r="P748" s="37"/>
      <c r="Q748" s="37">
        <v>1617910.51</v>
      </c>
      <c r="R748" s="37">
        <f t="shared" si="53"/>
        <v>2987.665521762414</v>
      </c>
      <c r="S748" s="29">
        <v>14736.15</v>
      </c>
      <c r="T748" s="29" t="s">
        <v>1359</v>
      </c>
      <c r="U748" s="118">
        <v>6.3</v>
      </c>
      <c r="V748" s="296">
        <v>2020</v>
      </c>
    </row>
    <row r="749" spans="1:22" ht="48" customHeight="1">
      <c r="A749" s="86">
        <v>7</v>
      </c>
      <c r="B749" s="176" t="s">
        <v>560</v>
      </c>
      <c r="C749" s="67">
        <v>1972</v>
      </c>
      <c r="D749" s="67"/>
      <c r="E749" s="37" t="s">
        <v>374</v>
      </c>
      <c r="F749" s="36">
        <v>2</v>
      </c>
      <c r="G749" s="36">
        <v>1</v>
      </c>
      <c r="H749" s="37">
        <v>400</v>
      </c>
      <c r="I749" s="37">
        <v>366.2</v>
      </c>
      <c r="J749" s="37">
        <v>366.2</v>
      </c>
      <c r="K749" s="36">
        <v>13</v>
      </c>
      <c r="L749" s="37" t="s">
        <v>489</v>
      </c>
      <c r="M749" s="37">
        <v>1148802.4</v>
      </c>
      <c r="N749" s="37"/>
      <c r="O749" s="37"/>
      <c r="P749" s="37"/>
      <c r="Q749" s="37">
        <v>1148802.4</v>
      </c>
      <c r="R749" s="37">
        <f t="shared" si="53"/>
        <v>3137.0901146914252</v>
      </c>
      <c r="S749" s="29">
        <v>14736.15</v>
      </c>
      <c r="T749" s="29" t="s">
        <v>1359</v>
      </c>
      <c r="U749" s="118">
        <v>6.3</v>
      </c>
      <c r="V749" s="296">
        <v>2020</v>
      </c>
    </row>
    <row r="750" spans="1:22" ht="45">
      <c r="A750" s="86">
        <v>8</v>
      </c>
      <c r="B750" s="87" t="s">
        <v>246</v>
      </c>
      <c r="C750" s="67">
        <v>1982</v>
      </c>
      <c r="D750" s="67"/>
      <c r="E750" s="37" t="s">
        <v>374</v>
      </c>
      <c r="F750" s="24">
        <v>2</v>
      </c>
      <c r="G750" s="24">
        <v>2</v>
      </c>
      <c r="H750" s="29">
        <v>556.9</v>
      </c>
      <c r="I750" s="29">
        <v>508.1</v>
      </c>
      <c r="J750" s="37">
        <v>412.53</v>
      </c>
      <c r="K750" s="36">
        <v>29</v>
      </c>
      <c r="L750" s="37" t="s">
        <v>489</v>
      </c>
      <c r="M750" s="89">
        <v>1979926.57</v>
      </c>
      <c r="N750" s="37"/>
      <c r="O750" s="37"/>
      <c r="P750" s="37"/>
      <c r="Q750" s="89">
        <v>1979926.57</v>
      </c>
      <c r="R750" s="37">
        <f t="shared" si="53"/>
        <v>3896.7261759496164</v>
      </c>
      <c r="S750" s="29">
        <v>14736.15</v>
      </c>
      <c r="T750" s="29" t="s">
        <v>1359</v>
      </c>
      <c r="U750" s="118">
        <v>6.3</v>
      </c>
      <c r="V750" s="296">
        <v>2020</v>
      </c>
    </row>
    <row r="751" spans="1:22" ht="15">
      <c r="A751" s="90"/>
      <c r="B751" s="84" t="s">
        <v>1613</v>
      </c>
      <c r="C751" s="37"/>
      <c r="D751" s="37"/>
      <c r="E751" s="37"/>
      <c r="F751" s="37"/>
      <c r="G751" s="37"/>
      <c r="H751" s="81">
        <f>SUM(H746:H750)</f>
        <v>6053.45</v>
      </c>
      <c r="I751" s="81">
        <f aca="true" t="shared" si="54" ref="I751:Q751">SUM(I746:I750)</f>
        <v>4643.360000000001</v>
      </c>
      <c r="J751" s="81">
        <f t="shared" si="54"/>
        <v>4073.2999999999993</v>
      </c>
      <c r="K751" s="98">
        <f t="shared" si="54"/>
        <v>309</v>
      </c>
      <c r="L751" s="81"/>
      <c r="M751" s="81">
        <f t="shared" si="54"/>
        <v>8190561.18</v>
      </c>
      <c r="N751" s="81"/>
      <c r="O751" s="81"/>
      <c r="P751" s="81"/>
      <c r="Q751" s="81">
        <f t="shared" si="54"/>
        <v>8190561.18</v>
      </c>
      <c r="R751" s="81">
        <f t="shared" si="53"/>
        <v>1763.9298223700077</v>
      </c>
      <c r="S751" s="29"/>
      <c r="T751" s="29"/>
      <c r="U751" s="175"/>
      <c r="V751" s="296"/>
    </row>
    <row r="752" spans="1:22" ht="15">
      <c r="A752" s="300" t="s">
        <v>1367</v>
      </c>
      <c r="B752" s="301"/>
      <c r="C752" s="301"/>
      <c r="D752" s="301"/>
      <c r="E752" s="301"/>
      <c r="F752" s="301"/>
      <c r="G752" s="301"/>
      <c r="H752" s="301"/>
      <c r="I752" s="301"/>
      <c r="J752" s="301"/>
      <c r="K752" s="301"/>
      <c r="L752" s="301"/>
      <c r="M752" s="301"/>
      <c r="N752" s="301"/>
      <c r="O752" s="301"/>
      <c r="P752" s="301"/>
      <c r="Q752" s="302"/>
      <c r="R752" s="301"/>
      <c r="S752" s="301"/>
      <c r="T752" s="301"/>
      <c r="U752" s="303"/>
      <c r="V752" s="296"/>
    </row>
    <row r="753" spans="1:22" ht="60">
      <c r="A753" s="86">
        <v>9</v>
      </c>
      <c r="B753" s="82" t="s">
        <v>1469</v>
      </c>
      <c r="C753" s="24">
        <v>1993</v>
      </c>
      <c r="D753" s="91"/>
      <c r="E753" s="28" t="s">
        <v>374</v>
      </c>
      <c r="F753" s="27">
        <v>5</v>
      </c>
      <c r="G753" s="27">
        <v>2</v>
      </c>
      <c r="H753" s="28">
        <v>1259.06</v>
      </c>
      <c r="I753" s="28">
        <v>1259.06</v>
      </c>
      <c r="J753" s="28">
        <v>1259.06</v>
      </c>
      <c r="K753" s="186">
        <v>44</v>
      </c>
      <c r="L753" s="28" t="s">
        <v>483</v>
      </c>
      <c r="M753" s="28">
        <v>2603680.86</v>
      </c>
      <c r="N753" s="28"/>
      <c r="O753" s="28"/>
      <c r="P753" s="28"/>
      <c r="Q753" s="28">
        <v>2603680.86</v>
      </c>
      <c r="R753" s="28">
        <f>M753/I753</f>
        <v>2067.9561418836274</v>
      </c>
      <c r="S753" s="30">
        <v>14736.15</v>
      </c>
      <c r="T753" s="27" t="s">
        <v>1359</v>
      </c>
      <c r="U753" s="146">
        <v>6.3</v>
      </c>
      <c r="V753" s="296">
        <v>2020</v>
      </c>
    </row>
    <row r="754" spans="1:22" ht="45">
      <c r="A754" s="95">
        <v>10</v>
      </c>
      <c r="B754" s="43" t="s">
        <v>770</v>
      </c>
      <c r="C754" s="27">
        <v>1996</v>
      </c>
      <c r="D754" s="8"/>
      <c r="E754" s="37" t="s">
        <v>374</v>
      </c>
      <c r="F754" s="24">
        <v>5</v>
      </c>
      <c r="G754" s="24">
        <v>6</v>
      </c>
      <c r="H754" s="37">
        <v>3221.03</v>
      </c>
      <c r="I754" s="37">
        <v>3221.03</v>
      </c>
      <c r="J754" s="37">
        <v>3221.03</v>
      </c>
      <c r="K754" s="36">
        <v>136</v>
      </c>
      <c r="L754" s="37" t="s">
        <v>497</v>
      </c>
      <c r="M754" s="37">
        <v>4073981.89</v>
      </c>
      <c r="N754" s="37"/>
      <c r="O754" s="37"/>
      <c r="P754" s="37"/>
      <c r="Q754" s="37">
        <v>4073981.89</v>
      </c>
      <c r="R754" s="37">
        <f>M754/I754</f>
        <v>1264.8071859001623</v>
      </c>
      <c r="S754" s="29">
        <v>14736.15</v>
      </c>
      <c r="T754" s="24" t="s">
        <v>1359</v>
      </c>
      <c r="U754" s="118">
        <v>6.3</v>
      </c>
      <c r="V754" s="296">
        <v>2020</v>
      </c>
    </row>
    <row r="755" spans="1:22" ht="15">
      <c r="A755" s="78"/>
      <c r="B755" s="84" t="s">
        <v>76</v>
      </c>
      <c r="C755" s="79"/>
      <c r="D755" s="79"/>
      <c r="E755" s="79"/>
      <c r="F755" s="79"/>
      <c r="G755" s="79"/>
      <c r="H755" s="81">
        <f>SUM(H753:H754)</f>
        <v>4480.09</v>
      </c>
      <c r="I755" s="81">
        <f>SUM(I753:I754)</f>
        <v>4480.09</v>
      </c>
      <c r="J755" s="81">
        <f>SUM(J753:J754)</f>
        <v>4480.09</v>
      </c>
      <c r="K755" s="98">
        <f>SUM(K753:K754)</f>
        <v>180</v>
      </c>
      <c r="L755" s="79"/>
      <c r="M755" s="81">
        <f>SUM(M753:M754)</f>
        <v>6677662.75</v>
      </c>
      <c r="N755" s="37"/>
      <c r="O755" s="37"/>
      <c r="P755" s="37"/>
      <c r="Q755" s="81">
        <f>SUM(Q753:Q754)</f>
        <v>6677662.75</v>
      </c>
      <c r="R755" s="81">
        <f>M755/I755</f>
        <v>1490.5197775044696</v>
      </c>
      <c r="S755" s="96"/>
      <c r="T755" s="96"/>
      <c r="U755" s="72"/>
      <c r="V755" s="296"/>
    </row>
    <row r="756" spans="1:22" ht="15">
      <c r="A756" s="300" t="s">
        <v>376</v>
      </c>
      <c r="B756" s="301"/>
      <c r="C756" s="301"/>
      <c r="D756" s="301"/>
      <c r="E756" s="301"/>
      <c r="F756" s="301"/>
      <c r="G756" s="301"/>
      <c r="H756" s="301"/>
      <c r="I756" s="301"/>
      <c r="J756" s="301"/>
      <c r="K756" s="301"/>
      <c r="L756" s="301"/>
      <c r="M756" s="301"/>
      <c r="N756" s="301"/>
      <c r="O756" s="301"/>
      <c r="P756" s="301"/>
      <c r="Q756" s="302"/>
      <c r="R756" s="301"/>
      <c r="S756" s="301"/>
      <c r="T756" s="301"/>
      <c r="U756" s="303"/>
      <c r="V756" s="296"/>
    </row>
    <row r="757" spans="1:22" ht="45">
      <c r="A757" s="70">
        <v>11</v>
      </c>
      <c r="B757" s="82" t="s">
        <v>154</v>
      </c>
      <c r="C757" s="24">
        <v>1987</v>
      </c>
      <c r="D757" s="24"/>
      <c r="E757" s="24" t="s">
        <v>374</v>
      </c>
      <c r="F757" s="24">
        <v>2</v>
      </c>
      <c r="G757" s="24">
        <v>3</v>
      </c>
      <c r="H757" s="37">
        <v>816.47</v>
      </c>
      <c r="I757" s="37">
        <v>479.41</v>
      </c>
      <c r="J757" s="37">
        <v>479.41</v>
      </c>
      <c r="K757" s="36">
        <v>54</v>
      </c>
      <c r="L757" s="62" t="s">
        <v>72</v>
      </c>
      <c r="M757" s="37">
        <v>129964.89</v>
      </c>
      <c r="N757" s="37"/>
      <c r="O757" s="37"/>
      <c r="P757" s="37"/>
      <c r="Q757" s="37">
        <v>129964.89</v>
      </c>
      <c r="R757" s="29">
        <f>M757/I757</f>
        <v>271.09340647879685</v>
      </c>
      <c r="S757" s="29">
        <v>14736.15</v>
      </c>
      <c r="T757" s="24" t="s">
        <v>1359</v>
      </c>
      <c r="U757" s="118">
        <v>6.3</v>
      </c>
      <c r="V757" s="296">
        <v>2020</v>
      </c>
    </row>
    <row r="758" spans="1:22" ht="45">
      <c r="A758" s="70">
        <v>12</v>
      </c>
      <c r="B758" s="82" t="s">
        <v>1652</v>
      </c>
      <c r="C758" s="25">
        <v>1986</v>
      </c>
      <c r="D758" s="25"/>
      <c r="E758" s="177" t="s">
        <v>374</v>
      </c>
      <c r="F758" s="25">
        <v>2</v>
      </c>
      <c r="G758" s="25">
        <v>3</v>
      </c>
      <c r="H758" s="25">
        <v>917.68</v>
      </c>
      <c r="I758" s="25">
        <v>826.79</v>
      </c>
      <c r="J758" s="25">
        <v>826.79</v>
      </c>
      <c r="K758" s="273">
        <v>45</v>
      </c>
      <c r="L758" s="62" t="s">
        <v>209</v>
      </c>
      <c r="M758" s="37">
        <v>125238.84</v>
      </c>
      <c r="N758" s="37"/>
      <c r="O758" s="37"/>
      <c r="P758" s="37"/>
      <c r="Q758" s="37">
        <v>125238.84</v>
      </c>
      <c r="R758" s="29">
        <f>M758/I758</f>
        <v>151.4759975326262</v>
      </c>
      <c r="S758" s="29">
        <v>14736.15</v>
      </c>
      <c r="T758" s="24" t="s">
        <v>1359</v>
      </c>
      <c r="U758" s="118">
        <v>6.3</v>
      </c>
      <c r="V758" s="296">
        <v>2020</v>
      </c>
    </row>
    <row r="759" spans="1:22" ht="60">
      <c r="A759" s="70">
        <v>13</v>
      </c>
      <c r="B759" s="82" t="s">
        <v>370</v>
      </c>
      <c r="C759" s="25">
        <v>1998</v>
      </c>
      <c r="D759" s="178"/>
      <c r="E759" s="177" t="s">
        <v>374</v>
      </c>
      <c r="F759" s="25">
        <v>3</v>
      </c>
      <c r="G759" s="25">
        <v>3</v>
      </c>
      <c r="H759" s="25">
        <v>1987.43</v>
      </c>
      <c r="I759" s="277">
        <v>1782.4</v>
      </c>
      <c r="J759" s="277">
        <v>1782.4</v>
      </c>
      <c r="K759" s="273">
        <v>87</v>
      </c>
      <c r="L759" s="62" t="s">
        <v>92</v>
      </c>
      <c r="M759" s="37">
        <v>855842.9</v>
      </c>
      <c r="N759" s="37"/>
      <c r="O759" s="37"/>
      <c r="P759" s="37"/>
      <c r="Q759" s="37">
        <v>855842.9</v>
      </c>
      <c r="R759" s="29">
        <f>M759/I759</f>
        <v>480.1632069120287</v>
      </c>
      <c r="S759" s="29">
        <v>14736.15</v>
      </c>
      <c r="T759" s="24" t="s">
        <v>1359</v>
      </c>
      <c r="U759" s="118">
        <v>6.3</v>
      </c>
      <c r="V759" s="296">
        <v>2020</v>
      </c>
    </row>
    <row r="760" spans="1:22" ht="15">
      <c r="A760" s="70"/>
      <c r="B760" s="84" t="s">
        <v>490</v>
      </c>
      <c r="C760" s="24"/>
      <c r="D760" s="24"/>
      <c r="E760" s="24"/>
      <c r="F760" s="24"/>
      <c r="G760" s="24"/>
      <c r="H760" s="81">
        <f>SUM(H757:H759)</f>
        <v>3721.58</v>
      </c>
      <c r="I760" s="81">
        <f aca="true" t="shared" si="55" ref="I760:Q760">SUM(I757:I759)</f>
        <v>3088.6000000000004</v>
      </c>
      <c r="J760" s="81">
        <f t="shared" si="55"/>
        <v>3088.6000000000004</v>
      </c>
      <c r="K760" s="98">
        <f t="shared" si="55"/>
        <v>186</v>
      </c>
      <c r="L760" s="81"/>
      <c r="M760" s="81">
        <f t="shared" si="55"/>
        <v>1111046.63</v>
      </c>
      <c r="N760" s="81"/>
      <c r="O760" s="81"/>
      <c r="P760" s="81"/>
      <c r="Q760" s="81">
        <f t="shared" si="55"/>
        <v>1111046.63</v>
      </c>
      <c r="R760" s="81">
        <f>M760/I760</f>
        <v>359.7249983811435</v>
      </c>
      <c r="S760" s="29"/>
      <c r="T760" s="76"/>
      <c r="U760" s="75"/>
      <c r="V760" s="296"/>
    </row>
    <row r="761" spans="1:22" ht="15">
      <c r="A761" s="300" t="s">
        <v>377</v>
      </c>
      <c r="B761" s="301"/>
      <c r="C761" s="301"/>
      <c r="D761" s="301"/>
      <c r="E761" s="301"/>
      <c r="F761" s="301"/>
      <c r="G761" s="301"/>
      <c r="H761" s="301"/>
      <c r="I761" s="301"/>
      <c r="J761" s="301"/>
      <c r="K761" s="301"/>
      <c r="L761" s="301"/>
      <c r="M761" s="301"/>
      <c r="N761" s="301"/>
      <c r="O761" s="301"/>
      <c r="P761" s="301"/>
      <c r="Q761" s="302"/>
      <c r="R761" s="301"/>
      <c r="S761" s="301"/>
      <c r="T761" s="301"/>
      <c r="U761" s="303"/>
      <c r="V761" s="296"/>
    </row>
    <row r="762" spans="1:22" ht="75">
      <c r="A762" s="70">
        <v>14</v>
      </c>
      <c r="B762" s="34" t="s">
        <v>1240</v>
      </c>
      <c r="C762" s="24">
        <v>1970</v>
      </c>
      <c r="D762" s="24"/>
      <c r="E762" s="24" t="s">
        <v>585</v>
      </c>
      <c r="F762" s="24">
        <v>2</v>
      </c>
      <c r="G762" s="24">
        <v>2</v>
      </c>
      <c r="H762" s="37">
        <v>720.8</v>
      </c>
      <c r="I762" s="37">
        <v>720.8</v>
      </c>
      <c r="J762" s="37" t="s">
        <v>1236</v>
      </c>
      <c r="K762" s="36">
        <v>22</v>
      </c>
      <c r="L762" s="24" t="s">
        <v>384</v>
      </c>
      <c r="M762" s="37">
        <v>441789.65</v>
      </c>
      <c r="N762" s="37"/>
      <c r="O762" s="37"/>
      <c r="P762" s="37"/>
      <c r="Q762" s="37">
        <v>441789.65</v>
      </c>
      <c r="R762" s="29">
        <f aca="true" t="shared" si="56" ref="R762:R770">M762/I762</f>
        <v>612.915718645949</v>
      </c>
      <c r="S762" s="29">
        <v>14736.15</v>
      </c>
      <c r="T762" s="24" t="s">
        <v>1359</v>
      </c>
      <c r="U762" s="118">
        <v>6.3</v>
      </c>
      <c r="V762" s="296">
        <v>2020</v>
      </c>
    </row>
    <row r="763" spans="1:22" ht="75">
      <c r="A763" s="70">
        <v>15</v>
      </c>
      <c r="B763" s="34" t="s">
        <v>1241</v>
      </c>
      <c r="C763" s="24">
        <v>1980</v>
      </c>
      <c r="D763" s="24"/>
      <c r="E763" s="24" t="s">
        <v>374</v>
      </c>
      <c r="F763" s="24">
        <v>2</v>
      </c>
      <c r="G763" s="24">
        <v>3</v>
      </c>
      <c r="H763" s="37">
        <v>816.18</v>
      </c>
      <c r="I763" s="37">
        <v>816.18</v>
      </c>
      <c r="J763" s="37">
        <v>816.18</v>
      </c>
      <c r="K763" s="36">
        <v>32</v>
      </c>
      <c r="L763" s="24" t="s">
        <v>1248</v>
      </c>
      <c r="M763" s="37">
        <v>3052061.43</v>
      </c>
      <c r="N763" s="37"/>
      <c r="O763" s="37"/>
      <c r="P763" s="37"/>
      <c r="Q763" s="37">
        <v>3052061.43</v>
      </c>
      <c r="R763" s="29">
        <f t="shared" si="56"/>
        <v>3739.44648239359</v>
      </c>
      <c r="S763" s="29">
        <v>14736.15</v>
      </c>
      <c r="T763" s="24" t="s">
        <v>1359</v>
      </c>
      <c r="U763" s="118">
        <v>6.3</v>
      </c>
      <c r="V763" s="296">
        <v>2020</v>
      </c>
    </row>
    <row r="764" spans="1:22" ht="75">
      <c r="A764" s="70">
        <v>16</v>
      </c>
      <c r="B764" s="34" t="s">
        <v>1242</v>
      </c>
      <c r="C764" s="24">
        <v>1978</v>
      </c>
      <c r="D764" s="24"/>
      <c r="E764" s="24" t="s">
        <v>374</v>
      </c>
      <c r="F764" s="24">
        <v>2</v>
      </c>
      <c r="G764" s="24">
        <v>2</v>
      </c>
      <c r="H764" s="37">
        <v>734</v>
      </c>
      <c r="I764" s="37">
        <v>734</v>
      </c>
      <c r="J764" s="37">
        <v>573.17</v>
      </c>
      <c r="K764" s="36">
        <v>27</v>
      </c>
      <c r="L764" s="24" t="s">
        <v>1249</v>
      </c>
      <c r="M764" s="37">
        <v>2930629.49</v>
      </c>
      <c r="N764" s="37"/>
      <c r="O764" s="37"/>
      <c r="P764" s="37"/>
      <c r="Q764" s="37">
        <v>2930629.49</v>
      </c>
      <c r="R764" s="29">
        <f t="shared" si="56"/>
        <v>3992.683228882834</v>
      </c>
      <c r="S764" s="29">
        <v>14736.15</v>
      </c>
      <c r="T764" s="24" t="s">
        <v>1359</v>
      </c>
      <c r="U764" s="118">
        <v>6.3</v>
      </c>
      <c r="V764" s="296">
        <v>2020</v>
      </c>
    </row>
    <row r="765" spans="1:22" ht="75">
      <c r="A765" s="70">
        <v>17</v>
      </c>
      <c r="B765" s="34" t="s">
        <v>1243</v>
      </c>
      <c r="C765" s="24">
        <v>1977</v>
      </c>
      <c r="D765" s="24"/>
      <c r="E765" s="24" t="s">
        <v>374</v>
      </c>
      <c r="F765" s="24">
        <v>2</v>
      </c>
      <c r="G765" s="24">
        <v>2</v>
      </c>
      <c r="H765" s="37">
        <v>720.8</v>
      </c>
      <c r="I765" s="37">
        <v>720.8</v>
      </c>
      <c r="J765" s="37" t="s">
        <v>1237</v>
      </c>
      <c r="K765" s="36">
        <v>22</v>
      </c>
      <c r="L765" s="24" t="s">
        <v>1250</v>
      </c>
      <c r="M765" s="37">
        <v>2620679.23</v>
      </c>
      <c r="N765" s="37"/>
      <c r="O765" s="37"/>
      <c r="P765" s="37"/>
      <c r="Q765" s="37">
        <v>2620679.23</v>
      </c>
      <c r="R765" s="29">
        <f t="shared" si="56"/>
        <v>3635.792494450611</v>
      </c>
      <c r="S765" s="29">
        <v>14736.15</v>
      </c>
      <c r="T765" s="24" t="s">
        <v>1359</v>
      </c>
      <c r="U765" s="118">
        <v>6.3</v>
      </c>
      <c r="V765" s="296">
        <v>2020</v>
      </c>
    </row>
    <row r="766" spans="1:22" ht="45">
      <c r="A766" s="70">
        <v>18</v>
      </c>
      <c r="B766" s="34" t="s">
        <v>1238</v>
      </c>
      <c r="C766" s="24">
        <v>1968</v>
      </c>
      <c r="D766" s="24"/>
      <c r="E766" s="24" t="s">
        <v>374</v>
      </c>
      <c r="F766" s="24">
        <v>4</v>
      </c>
      <c r="G766" s="24">
        <v>2</v>
      </c>
      <c r="H766" s="37">
        <v>1254.3</v>
      </c>
      <c r="I766" s="37">
        <v>1254.3</v>
      </c>
      <c r="J766" s="37">
        <v>1174.9</v>
      </c>
      <c r="K766" s="36">
        <v>30</v>
      </c>
      <c r="L766" s="24" t="s">
        <v>384</v>
      </c>
      <c r="M766" s="37">
        <v>654297.3</v>
      </c>
      <c r="N766" s="37"/>
      <c r="O766" s="37"/>
      <c r="P766" s="37"/>
      <c r="Q766" s="37">
        <v>654297.3</v>
      </c>
      <c r="R766" s="29">
        <f t="shared" si="56"/>
        <v>521.6433867495815</v>
      </c>
      <c r="S766" s="29">
        <v>14736.15</v>
      </c>
      <c r="T766" s="24" t="s">
        <v>1359</v>
      </c>
      <c r="U766" s="118">
        <v>6.3</v>
      </c>
      <c r="V766" s="296">
        <v>2020</v>
      </c>
    </row>
    <row r="767" spans="1:22" ht="45">
      <c r="A767" s="70">
        <v>19</v>
      </c>
      <c r="B767" s="34" t="s">
        <v>1239</v>
      </c>
      <c r="C767" s="24">
        <v>1966</v>
      </c>
      <c r="D767" s="24"/>
      <c r="E767" s="24" t="s">
        <v>374</v>
      </c>
      <c r="F767" s="24">
        <v>2</v>
      </c>
      <c r="G767" s="24">
        <v>1</v>
      </c>
      <c r="H767" s="37">
        <v>1136.2</v>
      </c>
      <c r="I767" s="37">
        <v>1136.2</v>
      </c>
      <c r="J767" s="37">
        <v>1037.55</v>
      </c>
      <c r="K767" s="36">
        <v>50</v>
      </c>
      <c r="L767" s="24" t="s">
        <v>384</v>
      </c>
      <c r="M767" s="37">
        <v>704412.1</v>
      </c>
      <c r="N767" s="37"/>
      <c r="O767" s="37"/>
      <c r="P767" s="37"/>
      <c r="Q767" s="37">
        <v>704412.1</v>
      </c>
      <c r="R767" s="29">
        <f t="shared" si="56"/>
        <v>619.9719239570497</v>
      </c>
      <c r="S767" s="29">
        <v>14736.15</v>
      </c>
      <c r="T767" s="24" t="s">
        <v>1359</v>
      </c>
      <c r="U767" s="118">
        <v>6.3</v>
      </c>
      <c r="V767" s="296">
        <v>2020</v>
      </c>
    </row>
    <row r="768" spans="1:22" ht="45">
      <c r="A768" s="70">
        <v>20</v>
      </c>
      <c r="B768" s="34" t="s">
        <v>1653</v>
      </c>
      <c r="C768" s="24">
        <v>1966</v>
      </c>
      <c r="D768" s="29"/>
      <c r="E768" s="24" t="s">
        <v>374</v>
      </c>
      <c r="F768" s="24">
        <v>4</v>
      </c>
      <c r="G768" s="24">
        <v>2</v>
      </c>
      <c r="H768" s="100">
        <v>1239.2</v>
      </c>
      <c r="I768" s="100">
        <v>1239.2</v>
      </c>
      <c r="J768" s="100">
        <v>1030.3</v>
      </c>
      <c r="K768" s="36">
        <v>36</v>
      </c>
      <c r="L768" s="24" t="s">
        <v>489</v>
      </c>
      <c r="M768" s="37">
        <v>2013954.8</v>
      </c>
      <c r="N768" s="37"/>
      <c r="O768" s="37"/>
      <c r="P768" s="37"/>
      <c r="Q768" s="37">
        <v>2013954.8</v>
      </c>
      <c r="R768" s="29">
        <f t="shared" si="56"/>
        <v>1625.2056165267913</v>
      </c>
      <c r="S768" s="29">
        <v>14736.15</v>
      </c>
      <c r="T768" s="24" t="s">
        <v>1359</v>
      </c>
      <c r="U768" s="118">
        <v>6.3</v>
      </c>
      <c r="V768" s="296">
        <v>2020</v>
      </c>
    </row>
    <row r="769" spans="1:22" ht="45">
      <c r="A769" s="70">
        <v>21</v>
      </c>
      <c r="B769" s="34" t="s">
        <v>1651</v>
      </c>
      <c r="C769" s="24">
        <v>1980</v>
      </c>
      <c r="D769" s="29"/>
      <c r="E769" s="24" t="s">
        <v>494</v>
      </c>
      <c r="F769" s="24">
        <v>5</v>
      </c>
      <c r="G769" s="24">
        <v>4</v>
      </c>
      <c r="H769" s="100">
        <v>3074.5</v>
      </c>
      <c r="I769" s="100">
        <v>3074.5</v>
      </c>
      <c r="J769" s="100">
        <v>2901.9</v>
      </c>
      <c r="K769" s="36">
        <v>103</v>
      </c>
      <c r="L769" s="24" t="s">
        <v>489</v>
      </c>
      <c r="M769" s="37">
        <v>1803410</v>
      </c>
      <c r="N769" s="37"/>
      <c r="O769" s="37"/>
      <c r="P769" s="37"/>
      <c r="Q769" s="37">
        <v>1803410</v>
      </c>
      <c r="R769" s="29">
        <f t="shared" si="56"/>
        <v>586.5701740120345</v>
      </c>
      <c r="S769" s="29">
        <v>14736.15</v>
      </c>
      <c r="T769" s="24" t="s">
        <v>1359</v>
      </c>
      <c r="U769" s="118">
        <v>6.3</v>
      </c>
      <c r="V769" s="296">
        <v>2020</v>
      </c>
    </row>
    <row r="770" spans="1:22" ht="15">
      <c r="A770" s="70"/>
      <c r="B770" s="84" t="s">
        <v>1562</v>
      </c>
      <c r="C770" s="24"/>
      <c r="D770" s="24"/>
      <c r="E770" s="24"/>
      <c r="F770" s="24"/>
      <c r="G770" s="24"/>
      <c r="H770" s="81">
        <f>SUM(H762:H769)</f>
        <v>9695.98</v>
      </c>
      <c r="I770" s="81">
        <f>SUM(I762:I769)</f>
        <v>9695.98</v>
      </c>
      <c r="J770" s="81">
        <f>SUM(J762:J769)</f>
        <v>7534</v>
      </c>
      <c r="K770" s="98">
        <f>SUM(K762:K769)</f>
        <v>322</v>
      </c>
      <c r="L770" s="81"/>
      <c r="M770" s="81">
        <f>SUM(M762:M769)</f>
        <v>14221234.000000002</v>
      </c>
      <c r="N770" s="81"/>
      <c r="O770" s="81"/>
      <c r="P770" s="81"/>
      <c r="Q770" s="81">
        <f>SUM(Q762:Q769)</f>
        <v>14221234.000000002</v>
      </c>
      <c r="R770" s="81">
        <f t="shared" si="56"/>
        <v>1466.7144527938385</v>
      </c>
      <c r="S770" s="29"/>
      <c r="T770" s="76"/>
      <c r="U770" s="175"/>
      <c r="V770" s="296"/>
    </row>
    <row r="771" spans="1:22" ht="15">
      <c r="A771" s="300" t="s">
        <v>1671</v>
      </c>
      <c r="B771" s="301"/>
      <c r="C771" s="301"/>
      <c r="D771" s="301"/>
      <c r="E771" s="301"/>
      <c r="F771" s="301"/>
      <c r="G771" s="301"/>
      <c r="H771" s="301"/>
      <c r="I771" s="301"/>
      <c r="J771" s="301"/>
      <c r="K771" s="301"/>
      <c r="L771" s="301"/>
      <c r="M771" s="301"/>
      <c r="N771" s="301"/>
      <c r="O771" s="301"/>
      <c r="P771" s="301"/>
      <c r="Q771" s="302"/>
      <c r="R771" s="301"/>
      <c r="S771" s="301"/>
      <c r="T771" s="301"/>
      <c r="U771" s="303"/>
      <c r="V771" s="296"/>
    </row>
    <row r="772" spans="1:22" ht="75">
      <c r="A772" s="70">
        <v>22</v>
      </c>
      <c r="B772" s="34" t="s">
        <v>562</v>
      </c>
      <c r="C772" s="24">
        <v>1983</v>
      </c>
      <c r="D772" s="24"/>
      <c r="E772" s="24" t="s">
        <v>374</v>
      </c>
      <c r="F772" s="24">
        <v>2</v>
      </c>
      <c r="G772" s="24">
        <v>3</v>
      </c>
      <c r="H772" s="37">
        <v>988.66</v>
      </c>
      <c r="I772" s="37">
        <v>823.63</v>
      </c>
      <c r="J772" s="37">
        <v>823.63</v>
      </c>
      <c r="K772" s="36">
        <v>50</v>
      </c>
      <c r="L772" s="24" t="s">
        <v>506</v>
      </c>
      <c r="M772" s="37">
        <v>886666.61</v>
      </c>
      <c r="N772" s="37"/>
      <c r="O772" s="37"/>
      <c r="P772" s="37"/>
      <c r="Q772" s="37">
        <v>886666.61</v>
      </c>
      <c r="R772" s="29">
        <f>M772/I772</f>
        <v>1076.5351067833858</v>
      </c>
      <c r="S772" s="29">
        <v>14736.15</v>
      </c>
      <c r="T772" s="24" t="s">
        <v>1359</v>
      </c>
      <c r="U772" s="118">
        <v>6.3</v>
      </c>
      <c r="V772" s="296">
        <v>2020</v>
      </c>
    </row>
    <row r="773" spans="1:22" ht="45">
      <c r="A773" s="70">
        <v>23</v>
      </c>
      <c r="B773" s="82" t="s">
        <v>1470</v>
      </c>
      <c r="C773" s="24">
        <v>1988</v>
      </c>
      <c r="D773" s="24"/>
      <c r="E773" s="24" t="s">
        <v>374</v>
      </c>
      <c r="F773" s="24">
        <v>2</v>
      </c>
      <c r="G773" s="24">
        <v>3</v>
      </c>
      <c r="H773" s="37">
        <v>991.68</v>
      </c>
      <c r="I773" s="37">
        <v>840.02</v>
      </c>
      <c r="J773" s="37">
        <v>840.02</v>
      </c>
      <c r="K773" s="36">
        <v>53</v>
      </c>
      <c r="L773" s="24" t="s">
        <v>497</v>
      </c>
      <c r="M773" s="37">
        <v>2489108.85</v>
      </c>
      <c r="N773" s="37"/>
      <c r="O773" s="37"/>
      <c r="P773" s="37"/>
      <c r="Q773" s="37">
        <v>2489108.85</v>
      </c>
      <c r="R773" s="29">
        <f>M773/I773</f>
        <v>2963.1542701364256</v>
      </c>
      <c r="S773" s="29">
        <v>14736.15</v>
      </c>
      <c r="T773" s="24" t="s">
        <v>1359</v>
      </c>
      <c r="U773" s="118">
        <v>6.3</v>
      </c>
      <c r="V773" s="296">
        <v>2020</v>
      </c>
    </row>
    <row r="774" spans="1:22" ht="15">
      <c r="A774" s="70"/>
      <c r="B774" s="84" t="s">
        <v>76</v>
      </c>
      <c r="C774" s="24"/>
      <c r="D774" s="24"/>
      <c r="E774" s="24"/>
      <c r="F774" s="24"/>
      <c r="G774" s="24"/>
      <c r="H774" s="81">
        <f>SUM(H772:H773)</f>
        <v>1980.34</v>
      </c>
      <c r="I774" s="81">
        <f aca="true" t="shared" si="57" ref="I774:Q774">SUM(I772:I773)</f>
        <v>1663.65</v>
      </c>
      <c r="J774" s="81">
        <f t="shared" si="57"/>
        <v>1663.65</v>
      </c>
      <c r="K774" s="98">
        <f t="shared" si="57"/>
        <v>103</v>
      </c>
      <c r="L774" s="81"/>
      <c r="M774" s="81">
        <f t="shared" si="57"/>
        <v>3375775.46</v>
      </c>
      <c r="N774" s="81"/>
      <c r="O774" s="81"/>
      <c r="P774" s="81"/>
      <c r="Q774" s="81">
        <f t="shared" si="57"/>
        <v>3375775.46</v>
      </c>
      <c r="R774" s="96">
        <f>M774/I774</f>
        <v>2029.1380158086135</v>
      </c>
      <c r="S774" s="96"/>
      <c r="T774" s="79"/>
      <c r="U774" s="80"/>
      <c r="V774" s="296"/>
    </row>
    <row r="775" spans="1:22" ht="15">
      <c r="A775" s="300" t="s">
        <v>1356</v>
      </c>
      <c r="B775" s="301"/>
      <c r="C775" s="301"/>
      <c r="D775" s="301"/>
      <c r="E775" s="301"/>
      <c r="F775" s="301"/>
      <c r="G775" s="301"/>
      <c r="H775" s="301"/>
      <c r="I775" s="301"/>
      <c r="J775" s="301"/>
      <c r="K775" s="301"/>
      <c r="L775" s="301"/>
      <c r="M775" s="301"/>
      <c r="N775" s="301"/>
      <c r="O775" s="301"/>
      <c r="P775" s="301"/>
      <c r="Q775" s="302"/>
      <c r="R775" s="301"/>
      <c r="S775" s="301"/>
      <c r="T775" s="301"/>
      <c r="U775" s="303"/>
      <c r="V775" s="296"/>
    </row>
    <row r="776" spans="1:22" ht="45">
      <c r="A776" s="70">
        <v>24</v>
      </c>
      <c r="B776" s="34" t="s">
        <v>563</v>
      </c>
      <c r="C776" s="24">
        <v>1985</v>
      </c>
      <c r="D776" s="24"/>
      <c r="E776" s="24" t="s">
        <v>494</v>
      </c>
      <c r="F776" s="24">
        <v>5</v>
      </c>
      <c r="G776" s="24">
        <v>2</v>
      </c>
      <c r="H776" s="29">
        <v>2441</v>
      </c>
      <c r="I776" s="29">
        <v>2438.6</v>
      </c>
      <c r="J776" s="29">
        <v>2404.5</v>
      </c>
      <c r="K776" s="36">
        <v>111</v>
      </c>
      <c r="L776" s="24" t="s">
        <v>835</v>
      </c>
      <c r="M776" s="37">
        <v>1084818.07</v>
      </c>
      <c r="N776" s="79"/>
      <c r="O776" s="79"/>
      <c r="P776" s="37"/>
      <c r="Q776" s="37">
        <v>1084818.07</v>
      </c>
      <c r="R776" s="29">
        <f>M776/I776</f>
        <v>444.8528130894776</v>
      </c>
      <c r="S776" s="29">
        <v>14736.15</v>
      </c>
      <c r="T776" s="24" t="s">
        <v>1359</v>
      </c>
      <c r="U776" s="118">
        <v>6.3</v>
      </c>
      <c r="V776" s="296">
        <v>2020</v>
      </c>
    </row>
    <row r="777" spans="1:22" ht="45">
      <c r="A777" s="70">
        <v>25</v>
      </c>
      <c r="B777" s="34" t="s">
        <v>564</v>
      </c>
      <c r="C777" s="24">
        <v>1984</v>
      </c>
      <c r="D777" s="24"/>
      <c r="E777" s="24" t="s">
        <v>494</v>
      </c>
      <c r="F777" s="24">
        <v>5</v>
      </c>
      <c r="G777" s="24">
        <v>2</v>
      </c>
      <c r="H777" s="29">
        <v>2435.2</v>
      </c>
      <c r="I777" s="29">
        <v>2436</v>
      </c>
      <c r="J777" s="29">
        <v>2317.9</v>
      </c>
      <c r="K777" s="36">
        <v>107</v>
      </c>
      <c r="L777" s="24" t="s">
        <v>835</v>
      </c>
      <c r="M777" s="37">
        <v>923992.62</v>
      </c>
      <c r="N777" s="79"/>
      <c r="O777" s="79"/>
      <c r="P777" s="37"/>
      <c r="Q777" s="37">
        <v>923992.62</v>
      </c>
      <c r="R777" s="29">
        <f>M777/I777</f>
        <v>379.30731527093593</v>
      </c>
      <c r="S777" s="29">
        <v>14736.15</v>
      </c>
      <c r="T777" s="24" t="s">
        <v>1359</v>
      </c>
      <c r="U777" s="118">
        <v>6.3</v>
      </c>
      <c r="V777" s="296">
        <v>2020</v>
      </c>
    </row>
    <row r="778" spans="1:22" ht="45">
      <c r="A778" s="70">
        <v>26</v>
      </c>
      <c r="B778" s="34" t="s">
        <v>1655</v>
      </c>
      <c r="C778" s="179">
        <v>1990</v>
      </c>
      <c r="D778" s="179"/>
      <c r="E778" s="24" t="s">
        <v>494</v>
      </c>
      <c r="F778" s="24">
        <v>3</v>
      </c>
      <c r="G778" s="24">
        <v>2</v>
      </c>
      <c r="H778" s="29">
        <v>1686.7</v>
      </c>
      <c r="I778" s="29">
        <v>1491.6</v>
      </c>
      <c r="J778" s="29">
        <v>1491.6</v>
      </c>
      <c r="K778" s="36">
        <v>64</v>
      </c>
      <c r="L778" s="179" t="s">
        <v>497</v>
      </c>
      <c r="M778" s="180">
        <v>1131724.63</v>
      </c>
      <c r="N778" s="79"/>
      <c r="O778" s="79"/>
      <c r="P778" s="37"/>
      <c r="Q778" s="180">
        <v>1131724.63</v>
      </c>
      <c r="R778" s="29">
        <f>M778/I778</f>
        <v>758.7319857870742</v>
      </c>
      <c r="S778" s="29">
        <v>14736.15</v>
      </c>
      <c r="T778" s="24" t="s">
        <v>1359</v>
      </c>
      <c r="U778" s="118">
        <v>6.3</v>
      </c>
      <c r="V778" s="296">
        <v>2020</v>
      </c>
    </row>
    <row r="779" spans="1:22" ht="45">
      <c r="A779" s="70">
        <v>27</v>
      </c>
      <c r="B779" s="34" t="s">
        <v>247</v>
      </c>
      <c r="C779" s="179">
        <v>1990</v>
      </c>
      <c r="D779" s="179"/>
      <c r="E779" s="24" t="s">
        <v>494</v>
      </c>
      <c r="F779" s="24">
        <v>3</v>
      </c>
      <c r="G779" s="24">
        <v>3</v>
      </c>
      <c r="H779" s="29">
        <v>1459.2</v>
      </c>
      <c r="I779" s="29">
        <v>1324.2</v>
      </c>
      <c r="J779" s="24" t="s">
        <v>1656</v>
      </c>
      <c r="K779" s="36">
        <v>50</v>
      </c>
      <c r="L779" s="179" t="s">
        <v>497</v>
      </c>
      <c r="M779" s="180">
        <v>2071787.29</v>
      </c>
      <c r="N779" s="79"/>
      <c r="O779" s="79"/>
      <c r="P779" s="37"/>
      <c r="Q779" s="180">
        <v>2071787.29</v>
      </c>
      <c r="R779" s="29">
        <f>M779/I779</f>
        <v>1564.5576876604741</v>
      </c>
      <c r="S779" s="29">
        <v>14736.15</v>
      </c>
      <c r="T779" s="24" t="s">
        <v>1359</v>
      </c>
      <c r="U779" s="118">
        <v>6.3</v>
      </c>
      <c r="V779" s="296">
        <v>2020</v>
      </c>
    </row>
    <row r="780" spans="1:22" ht="15">
      <c r="A780" s="70"/>
      <c r="B780" s="102" t="s">
        <v>75</v>
      </c>
      <c r="C780" s="24"/>
      <c r="D780" s="24"/>
      <c r="E780" s="24"/>
      <c r="F780" s="24"/>
      <c r="G780" s="24"/>
      <c r="H780" s="81">
        <f>SUM(H776:H779)</f>
        <v>8022.099999999999</v>
      </c>
      <c r="I780" s="81">
        <f aca="true" t="shared" si="58" ref="I780:Q780">SUM(I776:I779)</f>
        <v>7690.400000000001</v>
      </c>
      <c r="J780" s="81">
        <f t="shared" si="58"/>
        <v>6214</v>
      </c>
      <c r="K780" s="98">
        <f t="shared" si="58"/>
        <v>332</v>
      </c>
      <c r="L780" s="81"/>
      <c r="M780" s="81">
        <f t="shared" si="58"/>
        <v>5212322.609999999</v>
      </c>
      <c r="N780" s="81"/>
      <c r="O780" s="81"/>
      <c r="P780" s="81"/>
      <c r="Q780" s="81">
        <f t="shared" si="58"/>
        <v>5212322.609999999</v>
      </c>
      <c r="R780" s="96">
        <f>M780/I780</f>
        <v>677.7700262665139</v>
      </c>
      <c r="S780" s="29"/>
      <c r="T780" s="76"/>
      <c r="U780" s="175"/>
      <c r="V780" s="296"/>
    </row>
    <row r="781" spans="1:22" ht="15">
      <c r="A781" s="300" t="s">
        <v>1357</v>
      </c>
      <c r="B781" s="301"/>
      <c r="C781" s="301"/>
      <c r="D781" s="301"/>
      <c r="E781" s="301"/>
      <c r="F781" s="301"/>
      <c r="G781" s="301"/>
      <c r="H781" s="301"/>
      <c r="I781" s="301"/>
      <c r="J781" s="301"/>
      <c r="K781" s="301"/>
      <c r="L781" s="301"/>
      <c r="M781" s="301"/>
      <c r="N781" s="301"/>
      <c r="O781" s="301"/>
      <c r="P781" s="301"/>
      <c r="Q781" s="302"/>
      <c r="R781" s="301"/>
      <c r="S781" s="301"/>
      <c r="T781" s="301"/>
      <c r="U781" s="303"/>
      <c r="V781" s="296"/>
    </row>
    <row r="782" spans="1:22" ht="45">
      <c r="A782" s="70">
        <v>28</v>
      </c>
      <c r="B782" s="34" t="s">
        <v>1471</v>
      </c>
      <c r="C782" s="24">
        <v>1980</v>
      </c>
      <c r="D782" s="24">
        <v>2009</v>
      </c>
      <c r="E782" s="24" t="s">
        <v>374</v>
      </c>
      <c r="F782" s="24">
        <v>5</v>
      </c>
      <c r="G782" s="24">
        <v>4</v>
      </c>
      <c r="H782" s="37">
        <v>3786.6</v>
      </c>
      <c r="I782" s="37">
        <v>2598.75</v>
      </c>
      <c r="J782" s="37">
        <v>2482.45</v>
      </c>
      <c r="K782" s="36">
        <v>98</v>
      </c>
      <c r="L782" s="24" t="s">
        <v>497</v>
      </c>
      <c r="M782" s="37">
        <v>3384945</v>
      </c>
      <c r="N782" s="24"/>
      <c r="O782" s="79"/>
      <c r="P782" s="79"/>
      <c r="Q782" s="37">
        <v>3384945</v>
      </c>
      <c r="R782" s="29">
        <f>M782/I782</f>
        <v>1302.5281385281385</v>
      </c>
      <c r="S782" s="29">
        <v>14736.15</v>
      </c>
      <c r="T782" s="24" t="s">
        <v>1359</v>
      </c>
      <c r="U782" s="118">
        <v>6.3</v>
      </c>
      <c r="V782" s="296">
        <v>2020</v>
      </c>
    </row>
    <row r="783" spans="1:22" ht="45">
      <c r="A783" s="70">
        <v>29</v>
      </c>
      <c r="B783" s="34" t="s">
        <v>172</v>
      </c>
      <c r="C783" s="24">
        <v>1981</v>
      </c>
      <c r="D783" s="24"/>
      <c r="E783" s="24" t="s">
        <v>374</v>
      </c>
      <c r="F783" s="24">
        <v>2</v>
      </c>
      <c r="G783" s="24">
        <v>3</v>
      </c>
      <c r="H783" s="37">
        <v>944.2</v>
      </c>
      <c r="I783" s="37">
        <v>847.6</v>
      </c>
      <c r="J783" s="37">
        <v>753.6</v>
      </c>
      <c r="K783" s="36">
        <v>25</v>
      </c>
      <c r="L783" s="24" t="s">
        <v>497</v>
      </c>
      <c r="M783" s="37">
        <v>2726942.14</v>
      </c>
      <c r="N783" s="24"/>
      <c r="O783" s="79"/>
      <c r="P783" s="79"/>
      <c r="Q783" s="37">
        <v>2726942.14</v>
      </c>
      <c r="R783" s="29">
        <f>M783/I783</f>
        <v>3217.251226993865</v>
      </c>
      <c r="S783" s="29">
        <v>14736.15</v>
      </c>
      <c r="T783" s="24" t="s">
        <v>1359</v>
      </c>
      <c r="U783" s="118">
        <v>6.3</v>
      </c>
      <c r="V783" s="296">
        <v>2020</v>
      </c>
    </row>
    <row r="784" spans="1:22" ht="45">
      <c r="A784" s="70">
        <v>30</v>
      </c>
      <c r="B784" s="34" t="s">
        <v>709</v>
      </c>
      <c r="C784" s="24">
        <v>1981</v>
      </c>
      <c r="D784" s="24"/>
      <c r="E784" s="24" t="s">
        <v>374</v>
      </c>
      <c r="F784" s="24">
        <v>2</v>
      </c>
      <c r="G784" s="24">
        <v>2</v>
      </c>
      <c r="H784" s="37">
        <v>996.5</v>
      </c>
      <c r="I784" s="37">
        <v>893.3</v>
      </c>
      <c r="J784" s="37">
        <v>754.6</v>
      </c>
      <c r="K784" s="36">
        <v>29</v>
      </c>
      <c r="L784" s="24" t="s">
        <v>489</v>
      </c>
      <c r="M784" s="37">
        <v>2823704.61</v>
      </c>
      <c r="N784" s="24"/>
      <c r="O784" s="79"/>
      <c r="P784" s="79"/>
      <c r="Q784" s="37">
        <v>2823704.61</v>
      </c>
      <c r="R784" s="29">
        <f>M784/I784</f>
        <v>3160.9813164670322</v>
      </c>
      <c r="S784" s="29">
        <v>14736.15</v>
      </c>
      <c r="T784" s="24" t="s">
        <v>1359</v>
      </c>
      <c r="U784" s="118">
        <v>6.3</v>
      </c>
      <c r="V784" s="296">
        <v>2020</v>
      </c>
    </row>
    <row r="785" spans="1:22" ht="45">
      <c r="A785" s="70">
        <v>31</v>
      </c>
      <c r="B785" s="34" t="s">
        <v>1654</v>
      </c>
      <c r="C785" s="24">
        <v>1987</v>
      </c>
      <c r="D785" s="24"/>
      <c r="E785" s="24" t="s">
        <v>374</v>
      </c>
      <c r="F785" s="24">
        <v>2</v>
      </c>
      <c r="G785" s="24">
        <v>3</v>
      </c>
      <c r="H785" s="37">
        <v>880.6</v>
      </c>
      <c r="I785" s="37">
        <v>853.6</v>
      </c>
      <c r="J785" s="37">
        <v>804.4</v>
      </c>
      <c r="K785" s="36">
        <v>35</v>
      </c>
      <c r="L785" s="24" t="s">
        <v>489</v>
      </c>
      <c r="M785" s="37">
        <v>2481046.29</v>
      </c>
      <c r="N785" s="24"/>
      <c r="O785" s="79"/>
      <c r="P785" s="79"/>
      <c r="Q785" s="37">
        <v>2481046.29</v>
      </c>
      <c r="R785" s="29">
        <f>M785/I785</f>
        <v>2906.5678186504215</v>
      </c>
      <c r="S785" s="29">
        <v>14736.15</v>
      </c>
      <c r="T785" s="24" t="s">
        <v>1359</v>
      </c>
      <c r="U785" s="118">
        <v>6.3</v>
      </c>
      <c r="V785" s="296">
        <v>2020</v>
      </c>
    </row>
    <row r="786" spans="1:22" ht="15">
      <c r="A786" s="70"/>
      <c r="B786" s="84" t="s">
        <v>75</v>
      </c>
      <c r="C786" s="24"/>
      <c r="D786" s="24"/>
      <c r="E786" s="24"/>
      <c r="F786" s="24"/>
      <c r="G786" s="24"/>
      <c r="H786" s="81">
        <f>SUM(H782:H785)</f>
        <v>6607.900000000001</v>
      </c>
      <c r="I786" s="81">
        <f aca="true" t="shared" si="59" ref="I786:Q786">SUM(I782:I785)</f>
        <v>5193.25</v>
      </c>
      <c r="J786" s="81">
        <f t="shared" si="59"/>
        <v>4795.049999999999</v>
      </c>
      <c r="K786" s="98">
        <f t="shared" si="59"/>
        <v>187</v>
      </c>
      <c r="L786" s="81"/>
      <c r="M786" s="81">
        <f t="shared" si="59"/>
        <v>11416638.04</v>
      </c>
      <c r="N786" s="81"/>
      <c r="O786" s="81"/>
      <c r="P786" s="81"/>
      <c r="Q786" s="81">
        <f t="shared" si="59"/>
        <v>11416638.04</v>
      </c>
      <c r="R786" s="96">
        <f>M786/I786</f>
        <v>2198.360957011505</v>
      </c>
      <c r="S786" s="29"/>
      <c r="T786" s="76"/>
      <c r="U786" s="175"/>
      <c r="V786" s="296"/>
    </row>
    <row r="787" spans="1:22" ht="15">
      <c r="A787" s="300" t="s">
        <v>1358</v>
      </c>
      <c r="B787" s="301"/>
      <c r="C787" s="301"/>
      <c r="D787" s="301"/>
      <c r="E787" s="301"/>
      <c r="F787" s="301"/>
      <c r="G787" s="301"/>
      <c r="H787" s="301"/>
      <c r="I787" s="301"/>
      <c r="J787" s="301"/>
      <c r="K787" s="301"/>
      <c r="L787" s="301"/>
      <c r="M787" s="301"/>
      <c r="N787" s="301"/>
      <c r="O787" s="301"/>
      <c r="P787" s="301"/>
      <c r="Q787" s="302"/>
      <c r="R787" s="301"/>
      <c r="S787" s="301"/>
      <c r="T787" s="301"/>
      <c r="U787" s="303"/>
      <c r="V787" s="296"/>
    </row>
    <row r="788" spans="1:22" ht="45">
      <c r="A788" s="70">
        <v>32</v>
      </c>
      <c r="B788" s="104" t="s">
        <v>565</v>
      </c>
      <c r="C788" s="35">
        <v>1979</v>
      </c>
      <c r="D788" s="35">
        <v>2011</v>
      </c>
      <c r="E788" s="105" t="s">
        <v>374</v>
      </c>
      <c r="F788" s="35">
        <v>2</v>
      </c>
      <c r="G788" s="35">
        <v>3</v>
      </c>
      <c r="H788" s="37">
        <v>965.4</v>
      </c>
      <c r="I788" s="37">
        <v>854.9</v>
      </c>
      <c r="J788" s="37">
        <v>753.3</v>
      </c>
      <c r="K788" s="36">
        <v>40</v>
      </c>
      <c r="L788" s="105" t="s">
        <v>1586</v>
      </c>
      <c r="M788" s="37">
        <v>790370.45</v>
      </c>
      <c r="N788" s="37"/>
      <c r="O788" s="37"/>
      <c r="P788" s="37"/>
      <c r="Q788" s="37">
        <v>790370.45</v>
      </c>
      <c r="R788" s="37">
        <f aca="true" t="shared" si="60" ref="R788:R795">M788/I788</f>
        <v>924.5180138027839</v>
      </c>
      <c r="S788" s="29">
        <v>14736.15</v>
      </c>
      <c r="T788" s="37" t="s">
        <v>1359</v>
      </c>
      <c r="U788" s="118">
        <v>6.3</v>
      </c>
      <c r="V788" s="296">
        <v>2020</v>
      </c>
    </row>
    <row r="789" spans="1:22" ht="75">
      <c r="A789" s="70">
        <v>33</v>
      </c>
      <c r="B789" s="104" t="s">
        <v>566</v>
      </c>
      <c r="C789" s="35">
        <v>1980</v>
      </c>
      <c r="D789" s="35"/>
      <c r="E789" s="105" t="s">
        <v>374</v>
      </c>
      <c r="F789" s="35">
        <v>2</v>
      </c>
      <c r="G789" s="35">
        <v>3</v>
      </c>
      <c r="H789" s="37">
        <v>849.5</v>
      </c>
      <c r="I789" s="37">
        <v>849.5</v>
      </c>
      <c r="J789" s="37">
        <v>799.77</v>
      </c>
      <c r="K789" s="36">
        <v>39</v>
      </c>
      <c r="L789" s="105" t="s">
        <v>1587</v>
      </c>
      <c r="M789" s="37">
        <v>880513.14</v>
      </c>
      <c r="N789" s="37"/>
      <c r="O789" s="37"/>
      <c r="P789" s="37"/>
      <c r="Q789" s="37">
        <v>880513.14</v>
      </c>
      <c r="R789" s="37">
        <f t="shared" si="60"/>
        <v>1036.507522071807</v>
      </c>
      <c r="S789" s="29">
        <v>14736.15</v>
      </c>
      <c r="T789" s="37" t="s">
        <v>1359</v>
      </c>
      <c r="U789" s="118">
        <v>6.3</v>
      </c>
      <c r="V789" s="296">
        <v>2020</v>
      </c>
    </row>
    <row r="790" spans="1:22" ht="60">
      <c r="A790" s="70">
        <v>34</v>
      </c>
      <c r="B790" s="104" t="s">
        <v>567</v>
      </c>
      <c r="C790" s="35">
        <v>1980</v>
      </c>
      <c r="D790" s="35"/>
      <c r="E790" s="105" t="s">
        <v>374</v>
      </c>
      <c r="F790" s="35">
        <v>2</v>
      </c>
      <c r="G790" s="35">
        <v>3</v>
      </c>
      <c r="H790" s="37">
        <v>847.1</v>
      </c>
      <c r="I790" s="37">
        <v>847.1</v>
      </c>
      <c r="J790" s="37">
        <v>796.5</v>
      </c>
      <c r="K790" s="36">
        <v>34</v>
      </c>
      <c r="L790" s="105" t="s">
        <v>44</v>
      </c>
      <c r="M790" s="37">
        <v>642608.12</v>
      </c>
      <c r="N790" s="37"/>
      <c r="O790" s="37"/>
      <c r="P790" s="37"/>
      <c r="Q790" s="37">
        <v>642608.12</v>
      </c>
      <c r="R790" s="37">
        <f t="shared" si="60"/>
        <v>758.5977098335497</v>
      </c>
      <c r="S790" s="29">
        <v>14736.15</v>
      </c>
      <c r="T790" s="37" t="s">
        <v>1359</v>
      </c>
      <c r="U790" s="118">
        <v>6.3</v>
      </c>
      <c r="V790" s="296">
        <v>2020</v>
      </c>
    </row>
    <row r="791" spans="1:22" ht="90">
      <c r="A791" s="70">
        <v>35</v>
      </c>
      <c r="B791" s="104" t="s">
        <v>568</v>
      </c>
      <c r="C791" s="35">
        <v>1980</v>
      </c>
      <c r="D791" s="35"/>
      <c r="E791" s="105"/>
      <c r="F791" s="35">
        <v>2</v>
      </c>
      <c r="G791" s="35">
        <v>2</v>
      </c>
      <c r="H791" s="37">
        <v>540.1</v>
      </c>
      <c r="I791" s="37">
        <v>540.1</v>
      </c>
      <c r="J791" s="37">
        <v>540.1</v>
      </c>
      <c r="K791" s="36">
        <v>29</v>
      </c>
      <c r="L791" s="105" t="s">
        <v>1588</v>
      </c>
      <c r="M791" s="37">
        <v>1570764.49</v>
      </c>
      <c r="N791" s="37"/>
      <c r="O791" s="37"/>
      <c r="P791" s="37"/>
      <c r="Q791" s="37">
        <v>1570764.49</v>
      </c>
      <c r="R791" s="37">
        <f t="shared" si="60"/>
        <v>2908.284558415108</v>
      </c>
      <c r="S791" s="29">
        <v>14736.15</v>
      </c>
      <c r="T791" s="37" t="s">
        <v>1359</v>
      </c>
      <c r="U791" s="118">
        <v>6.3</v>
      </c>
      <c r="V791" s="296">
        <v>2020</v>
      </c>
    </row>
    <row r="792" spans="1:22" ht="45">
      <c r="A792" s="70">
        <v>36</v>
      </c>
      <c r="B792" s="104" t="s">
        <v>328</v>
      </c>
      <c r="C792" s="35">
        <v>1976</v>
      </c>
      <c r="D792" s="35">
        <v>2013</v>
      </c>
      <c r="E792" s="105" t="s">
        <v>374</v>
      </c>
      <c r="F792" s="35">
        <v>2</v>
      </c>
      <c r="G792" s="35">
        <v>3</v>
      </c>
      <c r="H792" s="37">
        <v>845</v>
      </c>
      <c r="I792" s="37">
        <v>845</v>
      </c>
      <c r="J792" s="37">
        <v>703</v>
      </c>
      <c r="K792" s="36">
        <v>52</v>
      </c>
      <c r="L792" s="105" t="s">
        <v>721</v>
      </c>
      <c r="M792" s="37">
        <v>283461.36</v>
      </c>
      <c r="N792" s="37"/>
      <c r="O792" s="37"/>
      <c r="P792" s="37"/>
      <c r="Q792" s="37">
        <v>283461.36</v>
      </c>
      <c r="R792" s="37">
        <f t="shared" si="60"/>
        <v>335.45723076923076</v>
      </c>
      <c r="S792" s="29">
        <v>14736.15</v>
      </c>
      <c r="T792" s="37" t="s">
        <v>1359</v>
      </c>
      <c r="U792" s="118">
        <v>6.3</v>
      </c>
      <c r="V792" s="296">
        <v>2020</v>
      </c>
    </row>
    <row r="793" spans="1:22" ht="45">
      <c r="A793" s="70">
        <v>37</v>
      </c>
      <c r="B793" s="104" t="s">
        <v>502</v>
      </c>
      <c r="C793" s="35">
        <v>1967</v>
      </c>
      <c r="D793" s="35"/>
      <c r="E793" s="105" t="s">
        <v>374</v>
      </c>
      <c r="F793" s="35">
        <v>2</v>
      </c>
      <c r="G793" s="35">
        <v>2</v>
      </c>
      <c r="H793" s="37">
        <v>479.5</v>
      </c>
      <c r="I793" s="37">
        <v>479.5</v>
      </c>
      <c r="J793" s="37">
        <v>479.5</v>
      </c>
      <c r="K793" s="36">
        <v>29</v>
      </c>
      <c r="L793" s="105" t="s">
        <v>489</v>
      </c>
      <c r="M793" s="37">
        <v>2108383.51</v>
      </c>
      <c r="N793" s="37"/>
      <c r="O793" s="37"/>
      <c r="P793" s="37"/>
      <c r="Q793" s="37">
        <v>2108383.51</v>
      </c>
      <c r="R793" s="37">
        <f t="shared" si="60"/>
        <v>4397.04590198123</v>
      </c>
      <c r="S793" s="29">
        <v>14736.15</v>
      </c>
      <c r="T793" s="37" t="s">
        <v>1359</v>
      </c>
      <c r="U793" s="118">
        <v>6.3</v>
      </c>
      <c r="V793" s="296">
        <v>2020</v>
      </c>
    </row>
    <row r="794" spans="1:22" ht="45">
      <c r="A794" s="70">
        <v>38</v>
      </c>
      <c r="B794" s="104" t="s">
        <v>329</v>
      </c>
      <c r="C794" s="35">
        <v>1968</v>
      </c>
      <c r="D794" s="35">
        <v>2015</v>
      </c>
      <c r="E794" s="105" t="s">
        <v>374</v>
      </c>
      <c r="F794" s="35">
        <v>2</v>
      </c>
      <c r="G794" s="35">
        <v>2</v>
      </c>
      <c r="H794" s="37">
        <v>528.12</v>
      </c>
      <c r="I794" s="37">
        <v>528.12</v>
      </c>
      <c r="J794" s="37">
        <v>473.92</v>
      </c>
      <c r="K794" s="36">
        <v>24</v>
      </c>
      <c r="L794" s="105" t="s">
        <v>489</v>
      </c>
      <c r="M794" s="37">
        <v>1541877.8</v>
      </c>
      <c r="N794" s="37"/>
      <c r="O794" s="37"/>
      <c r="P794" s="37"/>
      <c r="Q794" s="37">
        <v>1541877.8</v>
      </c>
      <c r="R794" s="37">
        <f t="shared" si="60"/>
        <v>2919.5595697947438</v>
      </c>
      <c r="S794" s="29">
        <v>14736.15</v>
      </c>
      <c r="T794" s="37" t="s">
        <v>1359</v>
      </c>
      <c r="U794" s="118">
        <v>6.3</v>
      </c>
      <c r="V794" s="296">
        <v>2020</v>
      </c>
    </row>
    <row r="795" spans="1:22" ht="15">
      <c r="A795" s="106"/>
      <c r="B795" s="84" t="s">
        <v>499</v>
      </c>
      <c r="C795" s="107"/>
      <c r="D795" s="107"/>
      <c r="E795" s="24"/>
      <c r="F795" s="107"/>
      <c r="G795" s="107"/>
      <c r="H795" s="81">
        <f>SUM(H788:H794)</f>
        <v>5054.72</v>
      </c>
      <c r="I795" s="81">
        <f aca="true" t="shared" si="61" ref="I795:Q795">SUM(I788:I794)</f>
        <v>4944.22</v>
      </c>
      <c r="J795" s="81">
        <f t="shared" si="61"/>
        <v>4546.089999999999</v>
      </c>
      <c r="K795" s="98">
        <f t="shared" si="61"/>
        <v>247</v>
      </c>
      <c r="L795" s="81"/>
      <c r="M795" s="81">
        <f t="shared" si="61"/>
        <v>7817978.87</v>
      </c>
      <c r="N795" s="81"/>
      <c r="O795" s="81"/>
      <c r="P795" s="81"/>
      <c r="Q795" s="81">
        <f t="shared" si="61"/>
        <v>7817978.87</v>
      </c>
      <c r="R795" s="81">
        <f t="shared" si="60"/>
        <v>1581.236043299044</v>
      </c>
      <c r="S795" s="107"/>
      <c r="T795" s="107"/>
      <c r="U795" s="118"/>
      <c r="V795" s="296"/>
    </row>
    <row r="796" spans="1:22" ht="15">
      <c r="A796" s="300" t="s">
        <v>1362</v>
      </c>
      <c r="B796" s="301"/>
      <c r="C796" s="301"/>
      <c r="D796" s="301"/>
      <c r="E796" s="301"/>
      <c r="F796" s="301"/>
      <c r="G796" s="301"/>
      <c r="H796" s="301"/>
      <c r="I796" s="301"/>
      <c r="J796" s="301"/>
      <c r="K796" s="301"/>
      <c r="L796" s="301"/>
      <c r="M796" s="301"/>
      <c r="N796" s="301"/>
      <c r="O796" s="301"/>
      <c r="P796" s="301"/>
      <c r="Q796" s="302"/>
      <c r="R796" s="301"/>
      <c r="S796" s="301"/>
      <c r="T796" s="301"/>
      <c r="U796" s="303"/>
      <c r="V796" s="296"/>
    </row>
    <row r="797" spans="1:22" ht="45">
      <c r="A797" s="70">
        <v>39</v>
      </c>
      <c r="B797" s="104" t="s">
        <v>346</v>
      </c>
      <c r="C797" s="67">
        <v>1996</v>
      </c>
      <c r="D797" s="76">
        <v>2006</v>
      </c>
      <c r="E797" s="76" t="s">
        <v>374</v>
      </c>
      <c r="F797" s="67">
        <v>2</v>
      </c>
      <c r="G797" s="67">
        <v>3</v>
      </c>
      <c r="H797" s="37">
        <v>1061.42</v>
      </c>
      <c r="I797" s="37">
        <v>1061.42</v>
      </c>
      <c r="J797" s="37">
        <v>1061.42</v>
      </c>
      <c r="K797" s="36">
        <v>68</v>
      </c>
      <c r="L797" s="76" t="s">
        <v>489</v>
      </c>
      <c r="M797" s="37">
        <v>2861338.39</v>
      </c>
      <c r="N797" s="37"/>
      <c r="O797" s="37"/>
      <c r="P797" s="37"/>
      <c r="Q797" s="37">
        <v>2861338.39</v>
      </c>
      <c r="R797" s="29">
        <f>M797/I797</f>
        <v>2695.764532418835</v>
      </c>
      <c r="S797" s="29">
        <v>14736.15</v>
      </c>
      <c r="T797" s="24" t="s">
        <v>1359</v>
      </c>
      <c r="U797" s="118">
        <v>6.3</v>
      </c>
      <c r="V797" s="296">
        <v>2020</v>
      </c>
    </row>
    <row r="798" spans="1:22" ht="15">
      <c r="A798" s="70"/>
      <c r="B798" s="84" t="s">
        <v>768</v>
      </c>
      <c r="C798" s="108"/>
      <c r="D798" s="108"/>
      <c r="E798" s="76"/>
      <c r="F798" s="108"/>
      <c r="G798" s="108"/>
      <c r="H798" s="81">
        <f>SUM(H797:H797)</f>
        <v>1061.42</v>
      </c>
      <c r="I798" s="81">
        <f>SUM(I797:I797)</f>
        <v>1061.42</v>
      </c>
      <c r="J798" s="81">
        <f>SUM(J797:J797)</f>
        <v>1061.42</v>
      </c>
      <c r="K798" s="98">
        <f>SUM(K797:K797)</f>
        <v>68</v>
      </c>
      <c r="L798" s="81"/>
      <c r="M798" s="81">
        <f>SUM(M797:M797)</f>
        <v>2861338.39</v>
      </c>
      <c r="N798" s="81"/>
      <c r="O798" s="81"/>
      <c r="P798" s="81"/>
      <c r="Q798" s="81">
        <f>SUM(Q797:Q797)</f>
        <v>2861338.39</v>
      </c>
      <c r="R798" s="96">
        <f>M798/I798</f>
        <v>2695.764532418835</v>
      </c>
      <c r="S798" s="29"/>
      <c r="T798" s="76"/>
      <c r="U798" s="175"/>
      <c r="V798" s="296"/>
    </row>
    <row r="799" spans="1:22" ht="15">
      <c r="A799" s="300" t="s">
        <v>375</v>
      </c>
      <c r="B799" s="301"/>
      <c r="C799" s="301"/>
      <c r="D799" s="301"/>
      <c r="E799" s="301"/>
      <c r="F799" s="301"/>
      <c r="G799" s="301"/>
      <c r="H799" s="301"/>
      <c r="I799" s="301"/>
      <c r="J799" s="301"/>
      <c r="K799" s="301"/>
      <c r="L799" s="301"/>
      <c r="M799" s="301"/>
      <c r="N799" s="301"/>
      <c r="O799" s="301"/>
      <c r="P799" s="301"/>
      <c r="Q799" s="302"/>
      <c r="R799" s="301"/>
      <c r="S799" s="301"/>
      <c r="T799" s="301"/>
      <c r="U799" s="303"/>
      <c r="V799" s="296"/>
    </row>
    <row r="800" spans="1:22" ht="45">
      <c r="A800" s="70">
        <v>40</v>
      </c>
      <c r="B800" s="82" t="s">
        <v>347</v>
      </c>
      <c r="C800" s="33">
        <v>1975</v>
      </c>
      <c r="D800" s="33">
        <v>2012</v>
      </c>
      <c r="E800" s="33" t="s">
        <v>374</v>
      </c>
      <c r="F800" s="33">
        <v>2</v>
      </c>
      <c r="G800" s="33">
        <v>3</v>
      </c>
      <c r="H800" s="109">
        <v>988.8</v>
      </c>
      <c r="I800" s="110">
        <v>887.92</v>
      </c>
      <c r="J800" s="110">
        <v>846.58</v>
      </c>
      <c r="K800" s="268">
        <v>37</v>
      </c>
      <c r="L800" s="24" t="s">
        <v>721</v>
      </c>
      <c r="M800" s="109">
        <v>246798</v>
      </c>
      <c r="N800" s="109"/>
      <c r="O800" s="109"/>
      <c r="P800" s="109"/>
      <c r="Q800" s="109">
        <v>246798</v>
      </c>
      <c r="R800" s="111">
        <f>M800/I800</f>
        <v>277.950716280746</v>
      </c>
      <c r="S800" s="29">
        <v>14736.15</v>
      </c>
      <c r="T800" s="24" t="s">
        <v>1359</v>
      </c>
      <c r="U800" s="118">
        <v>6.3</v>
      </c>
      <c r="V800" s="296">
        <v>2020</v>
      </c>
    </row>
    <row r="801" spans="1:22" ht="45">
      <c r="A801" s="70">
        <v>41</v>
      </c>
      <c r="B801" s="82" t="s">
        <v>348</v>
      </c>
      <c r="C801" s="33">
        <v>1982</v>
      </c>
      <c r="D801" s="33"/>
      <c r="E801" s="33" t="s">
        <v>374</v>
      </c>
      <c r="F801" s="33">
        <v>3</v>
      </c>
      <c r="G801" s="33">
        <v>4</v>
      </c>
      <c r="H801" s="109">
        <v>2514.47</v>
      </c>
      <c r="I801" s="110">
        <v>2312</v>
      </c>
      <c r="J801" s="110">
        <v>2196.54</v>
      </c>
      <c r="K801" s="268">
        <v>81</v>
      </c>
      <c r="L801" s="24" t="s">
        <v>500</v>
      </c>
      <c r="M801" s="109">
        <v>7538053</v>
      </c>
      <c r="N801" s="109"/>
      <c r="O801" s="109"/>
      <c r="P801" s="109"/>
      <c r="Q801" s="109">
        <v>7538053</v>
      </c>
      <c r="R801" s="111">
        <f>M801/I801</f>
        <v>3260.403546712803</v>
      </c>
      <c r="S801" s="29">
        <v>14736.15</v>
      </c>
      <c r="T801" s="24" t="s">
        <v>1359</v>
      </c>
      <c r="U801" s="118">
        <v>6.3</v>
      </c>
      <c r="V801" s="296">
        <v>2020</v>
      </c>
    </row>
    <row r="802" spans="1:22" ht="15">
      <c r="A802" s="70"/>
      <c r="B802" s="112" t="s">
        <v>1611</v>
      </c>
      <c r="C802" s="24"/>
      <c r="D802" s="24"/>
      <c r="E802" s="24"/>
      <c r="F802" s="24"/>
      <c r="G802" s="24"/>
      <c r="H802" s="81">
        <f>SUM(H800:H801)</f>
        <v>3503.2699999999995</v>
      </c>
      <c r="I802" s="81">
        <f>SUM(I800:I801)</f>
        <v>3199.92</v>
      </c>
      <c r="J802" s="81">
        <f>SUM(J800:J801)</f>
        <v>3043.12</v>
      </c>
      <c r="K802" s="98">
        <f>SUM(K800:K801)</f>
        <v>118</v>
      </c>
      <c r="L802" s="79"/>
      <c r="M802" s="181">
        <f>SUM(M800:M801)</f>
        <v>7784851</v>
      </c>
      <c r="N802" s="181"/>
      <c r="O802" s="181"/>
      <c r="P802" s="181"/>
      <c r="Q802" s="181">
        <f>SUM(Q800:Q801)</f>
        <v>7784851</v>
      </c>
      <c r="R802" s="113">
        <f>M802/I802</f>
        <v>2432.8267581689543</v>
      </c>
      <c r="S802" s="29"/>
      <c r="T802" s="76"/>
      <c r="U802" s="175"/>
      <c r="V802" s="296"/>
    </row>
    <row r="803" spans="1:22" ht="15">
      <c r="A803" s="300" t="s">
        <v>385</v>
      </c>
      <c r="B803" s="301"/>
      <c r="C803" s="301"/>
      <c r="D803" s="301"/>
      <c r="E803" s="301"/>
      <c r="F803" s="301"/>
      <c r="G803" s="301"/>
      <c r="H803" s="301"/>
      <c r="I803" s="301"/>
      <c r="J803" s="301"/>
      <c r="K803" s="301"/>
      <c r="L803" s="301"/>
      <c r="M803" s="301"/>
      <c r="N803" s="301"/>
      <c r="O803" s="301"/>
      <c r="P803" s="301"/>
      <c r="Q803" s="302"/>
      <c r="R803" s="301"/>
      <c r="S803" s="301"/>
      <c r="T803" s="301"/>
      <c r="U803" s="303"/>
      <c r="V803" s="296"/>
    </row>
    <row r="804" spans="1:22" ht="45">
      <c r="A804" s="70">
        <v>42</v>
      </c>
      <c r="B804" s="82" t="s">
        <v>1057</v>
      </c>
      <c r="C804" s="24">
        <v>1973</v>
      </c>
      <c r="D804" s="24"/>
      <c r="E804" s="24" t="s">
        <v>374</v>
      </c>
      <c r="F804" s="24">
        <v>2</v>
      </c>
      <c r="G804" s="24">
        <v>2</v>
      </c>
      <c r="H804" s="37">
        <v>773.5</v>
      </c>
      <c r="I804" s="37">
        <v>715.3</v>
      </c>
      <c r="J804" s="37">
        <v>671.7</v>
      </c>
      <c r="K804" s="36">
        <v>20</v>
      </c>
      <c r="L804" s="24" t="s">
        <v>384</v>
      </c>
      <c r="M804" s="37">
        <v>359956.22</v>
      </c>
      <c r="N804" s="37"/>
      <c r="O804" s="37"/>
      <c r="P804" s="37"/>
      <c r="Q804" s="37">
        <v>359956.22</v>
      </c>
      <c r="R804" s="29">
        <f>M804/I804</f>
        <v>503.2241297357752</v>
      </c>
      <c r="S804" s="29">
        <v>14736.15</v>
      </c>
      <c r="T804" s="24" t="s">
        <v>1359</v>
      </c>
      <c r="U804" s="118">
        <v>6.3</v>
      </c>
      <c r="V804" s="296">
        <v>2020</v>
      </c>
    </row>
    <row r="805" spans="1:22" ht="45">
      <c r="A805" s="70">
        <v>43</v>
      </c>
      <c r="B805" s="82" t="s">
        <v>349</v>
      </c>
      <c r="C805" s="24">
        <v>1987</v>
      </c>
      <c r="D805" s="24"/>
      <c r="E805" s="24" t="s">
        <v>374</v>
      </c>
      <c r="F805" s="24">
        <v>2</v>
      </c>
      <c r="G805" s="24">
        <v>2</v>
      </c>
      <c r="H805" s="37">
        <v>916</v>
      </c>
      <c r="I805" s="37">
        <v>846.2</v>
      </c>
      <c r="J805" s="37">
        <v>684.7</v>
      </c>
      <c r="K805" s="36">
        <v>28</v>
      </c>
      <c r="L805" s="24" t="s">
        <v>496</v>
      </c>
      <c r="M805" s="37">
        <v>2222023.64</v>
      </c>
      <c r="N805" s="37"/>
      <c r="O805" s="37"/>
      <c r="P805" s="37"/>
      <c r="Q805" s="37">
        <v>2222023.64</v>
      </c>
      <c r="R805" s="29">
        <f aca="true" t="shared" si="62" ref="R805:R820">M805/I805</f>
        <v>2625.8847081068307</v>
      </c>
      <c r="S805" s="29">
        <v>14736.15</v>
      </c>
      <c r="T805" s="24" t="s">
        <v>1359</v>
      </c>
      <c r="U805" s="118">
        <v>6.3</v>
      </c>
      <c r="V805" s="296">
        <v>2020</v>
      </c>
    </row>
    <row r="806" spans="1:22" ht="45">
      <c r="A806" s="70">
        <v>44</v>
      </c>
      <c r="B806" s="82" t="s">
        <v>844</v>
      </c>
      <c r="C806" s="24">
        <v>1988</v>
      </c>
      <c r="D806" s="24"/>
      <c r="E806" s="24" t="s">
        <v>374</v>
      </c>
      <c r="F806" s="24">
        <v>2</v>
      </c>
      <c r="G806" s="24">
        <v>3</v>
      </c>
      <c r="H806" s="37">
        <v>965.3</v>
      </c>
      <c r="I806" s="37">
        <v>931.8</v>
      </c>
      <c r="J806" s="37">
        <v>683.3</v>
      </c>
      <c r="K806" s="36">
        <v>27</v>
      </c>
      <c r="L806" s="24" t="s">
        <v>496</v>
      </c>
      <c r="M806" s="37">
        <v>2804061.12</v>
      </c>
      <c r="N806" s="37"/>
      <c r="O806" s="37"/>
      <c r="P806" s="37"/>
      <c r="Q806" s="37">
        <v>2804061.12</v>
      </c>
      <c r="R806" s="29">
        <f t="shared" si="62"/>
        <v>3009.2950418544756</v>
      </c>
      <c r="S806" s="29">
        <v>14736.15</v>
      </c>
      <c r="T806" s="24" t="s">
        <v>1359</v>
      </c>
      <c r="U806" s="118">
        <v>6.3</v>
      </c>
      <c r="V806" s="296">
        <v>2020</v>
      </c>
    </row>
    <row r="807" spans="1:22" ht="45">
      <c r="A807" s="70">
        <v>45</v>
      </c>
      <c r="B807" s="82" t="s">
        <v>1022</v>
      </c>
      <c r="C807" s="24">
        <v>1986</v>
      </c>
      <c r="D807" s="24"/>
      <c r="E807" s="24" t="s">
        <v>374</v>
      </c>
      <c r="F807" s="24">
        <v>2</v>
      </c>
      <c r="G807" s="24">
        <v>2</v>
      </c>
      <c r="H807" s="37">
        <v>948.6</v>
      </c>
      <c r="I807" s="37">
        <v>863.3</v>
      </c>
      <c r="J807" s="37">
        <v>863.3</v>
      </c>
      <c r="K807" s="36">
        <v>31</v>
      </c>
      <c r="L807" s="24" t="s">
        <v>384</v>
      </c>
      <c r="M807" s="37">
        <v>523771.25</v>
      </c>
      <c r="N807" s="37"/>
      <c r="O807" s="37"/>
      <c r="P807" s="37"/>
      <c r="Q807" s="37">
        <v>523771.25</v>
      </c>
      <c r="R807" s="29">
        <f t="shared" si="62"/>
        <v>606.7082705895981</v>
      </c>
      <c r="S807" s="29">
        <v>14736.15</v>
      </c>
      <c r="T807" s="24" t="s">
        <v>1359</v>
      </c>
      <c r="U807" s="118">
        <v>6.3</v>
      </c>
      <c r="V807" s="296">
        <v>2020</v>
      </c>
    </row>
    <row r="808" spans="1:22" s="16" customFormat="1" ht="60">
      <c r="A808" s="70">
        <v>46</v>
      </c>
      <c r="B808" s="82" t="s">
        <v>1068</v>
      </c>
      <c r="C808" s="24">
        <v>1988</v>
      </c>
      <c r="D808" s="24"/>
      <c r="E808" s="24" t="s">
        <v>374</v>
      </c>
      <c r="F808" s="24">
        <v>2</v>
      </c>
      <c r="G808" s="24">
        <v>3</v>
      </c>
      <c r="H808" s="37">
        <v>988.5</v>
      </c>
      <c r="I808" s="37">
        <v>904.2</v>
      </c>
      <c r="J808" s="37">
        <v>854.2</v>
      </c>
      <c r="K808" s="36">
        <v>40</v>
      </c>
      <c r="L808" s="24" t="s">
        <v>845</v>
      </c>
      <c r="M808" s="37">
        <v>1613345.46</v>
      </c>
      <c r="N808" s="37"/>
      <c r="O808" s="37"/>
      <c r="P808" s="37"/>
      <c r="Q808" s="37">
        <v>1613345.46</v>
      </c>
      <c r="R808" s="29">
        <f t="shared" si="62"/>
        <v>1784.279429329794</v>
      </c>
      <c r="S808" s="29">
        <v>14736.15</v>
      </c>
      <c r="T808" s="24" t="s">
        <v>1359</v>
      </c>
      <c r="U808" s="118">
        <v>6.3</v>
      </c>
      <c r="V808" s="296">
        <v>2020</v>
      </c>
    </row>
    <row r="809" spans="1:22" s="16" customFormat="1" ht="90">
      <c r="A809" s="70">
        <v>47</v>
      </c>
      <c r="B809" s="82" t="s">
        <v>1575</v>
      </c>
      <c r="C809" s="24">
        <v>1994</v>
      </c>
      <c r="D809" s="24"/>
      <c r="E809" s="24" t="s">
        <v>374</v>
      </c>
      <c r="F809" s="24">
        <v>3</v>
      </c>
      <c r="G809" s="24">
        <v>3</v>
      </c>
      <c r="H809" s="37">
        <v>1507.1</v>
      </c>
      <c r="I809" s="37">
        <v>1234.3</v>
      </c>
      <c r="J809" s="37">
        <v>1192.6</v>
      </c>
      <c r="K809" s="36">
        <v>47</v>
      </c>
      <c r="L809" s="24" t="s">
        <v>1550</v>
      </c>
      <c r="M809" s="37">
        <v>2393681.11</v>
      </c>
      <c r="N809" s="37"/>
      <c r="O809" s="37"/>
      <c r="P809" s="37"/>
      <c r="Q809" s="37">
        <v>2393681.11</v>
      </c>
      <c r="R809" s="29">
        <f t="shared" si="62"/>
        <v>1939.3025277485215</v>
      </c>
      <c r="S809" s="29">
        <v>14736.15</v>
      </c>
      <c r="T809" s="24" t="s">
        <v>1359</v>
      </c>
      <c r="U809" s="118">
        <v>6.3</v>
      </c>
      <c r="V809" s="296">
        <v>2020</v>
      </c>
    </row>
    <row r="810" spans="1:22" ht="45">
      <c r="A810" s="70">
        <v>48</v>
      </c>
      <c r="B810" s="82" t="s">
        <v>1024</v>
      </c>
      <c r="C810" s="24">
        <v>1973</v>
      </c>
      <c r="D810" s="24"/>
      <c r="E810" s="24" t="s">
        <v>374</v>
      </c>
      <c r="F810" s="24">
        <v>2</v>
      </c>
      <c r="G810" s="24">
        <v>2</v>
      </c>
      <c r="H810" s="37">
        <v>758.2</v>
      </c>
      <c r="I810" s="37">
        <v>703.4</v>
      </c>
      <c r="J810" s="37">
        <v>703.4</v>
      </c>
      <c r="K810" s="36">
        <v>30</v>
      </c>
      <c r="L810" s="24" t="s">
        <v>489</v>
      </c>
      <c r="M810" s="37">
        <v>1880737.18</v>
      </c>
      <c r="N810" s="37"/>
      <c r="O810" s="37"/>
      <c r="P810" s="37"/>
      <c r="Q810" s="37">
        <v>1880737.18</v>
      </c>
      <c r="R810" s="29">
        <f t="shared" si="62"/>
        <v>2673.7804663065112</v>
      </c>
      <c r="S810" s="29">
        <v>14736.15</v>
      </c>
      <c r="T810" s="24" t="s">
        <v>1359</v>
      </c>
      <c r="U810" s="118">
        <v>6.3</v>
      </c>
      <c r="V810" s="296">
        <v>2020</v>
      </c>
    </row>
    <row r="811" spans="1:22" ht="45">
      <c r="A811" s="70">
        <v>49</v>
      </c>
      <c r="B811" s="82" t="s">
        <v>1025</v>
      </c>
      <c r="C811" s="24">
        <v>1971</v>
      </c>
      <c r="D811" s="24"/>
      <c r="E811" s="24" t="s">
        <v>374</v>
      </c>
      <c r="F811" s="24">
        <v>2</v>
      </c>
      <c r="G811" s="24">
        <v>2</v>
      </c>
      <c r="H811" s="37">
        <v>697.6</v>
      </c>
      <c r="I811" s="37">
        <v>756.57</v>
      </c>
      <c r="J811" s="37">
        <v>696.2</v>
      </c>
      <c r="K811" s="36">
        <v>34</v>
      </c>
      <c r="L811" s="24" t="s">
        <v>489</v>
      </c>
      <c r="M811" s="37">
        <v>2102817.9</v>
      </c>
      <c r="N811" s="37"/>
      <c r="O811" s="37"/>
      <c r="P811" s="37"/>
      <c r="Q811" s="37">
        <v>2102817.9</v>
      </c>
      <c r="R811" s="29">
        <f t="shared" si="62"/>
        <v>2779.4095721479835</v>
      </c>
      <c r="S811" s="29">
        <v>14736.15</v>
      </c>
      <c r="T811" s="24" t="s">
        <v>1359</v>
      </c>
      <c r="U811" s="118">
        <v>6.3</v>
      </c>
      <c r="V811" s="296">
        <v>2020</v>
      </c>
    </row>
    <row r="812" spans="1:22" s="16" customFormat="1" ht="45">
      <c r="A812" s="70">
        <v>50</v>
      </c>
      <c r="B812" s="82" t="s">
        <v>1026</v>
      </c>
      <c r="C812" s="24">
        <v>1976</v>
      </c>
      <c r="D812" s="24"/>
      <c r="E812" s="24" t="s">
        <v>374</v>
      </c>
      <c r="F812" s="24">
        <v>2</v>
      </c>
      <c r="G812" s="24">
        <v>3</v>
      </c>
      <c r="H812" s="37">
        <v>929.4</v>
      </c>
      <c r="I812" s="37">
        <v>842.8</v>
      </c>
      <c r="J812" s="37">
        <v>794.1</v>
      </c>
      <c r="K812" s="36">
        <v>38</v>
      </c>
      <c r="L812" s="24" t="s">
        <v>384</v>
      </c>
      <c r="M812" s="37">
        <v>479303.53</v>
      </c>
      <c r="N812" s="37"/>
      <c r="O812" s="37"/>
      <c r="P812" s="37"/>
      <c r="Q812" s="37">
        <v>479303.53</v>
      </c>
      <c r="R812" s="29">
        <f t="shared" si="62"/>
        <v>568.7037612719507</v>
      </c>
      <c r="S812" s="29">
        <v>14736.15</v>
      </c>
      <c r="T812" s="24" t="s">
        <v>1359</v>
      </c>
      <c r="U812" s="118">
        <v>6.3</v>
      </c>
      <c r="V812" s="296">
        <v>2020</v>
      </c>
    </row>
    <row r="813" spans="1:22" s="16" customFormat="1" ht="45">
      <c r="A813" s="70">
        <v>51</v>
      </c>
      <c r="B813" s="82" t="s">
        <v>350</v>
      </c>
      <c r="C813" s="24">
        <v>1986</v>
      </c>
      <c r="D813" s="24"/>
      <c r="E813" s="24" t="s">
        <v>374</v>
      </c>
      <c r="F813" s="24">
        <v>2</v>
      </c>
      <c r="G813" s="24">
        <v>2</v>
      </c>
      <c r="H813" s="37">
        <v>636.8</v>
      </c>
      <c r="I813" s="37">
        <v>579.6</v>
      </c>
      <c r="J813" s="37">
        <v>517.2</v>
      </c>
      <c r="K813" s="36">
        <v>14</v>
      </c>
      <c r="L813" s="24" t="s">
        <v>496</v>
      </c>
      <c r="M813" s="37">
        <v>2079217.83</v>
      </c>
      <c r="N813" s="37"/>
      <c r="O813" s="37"/>
      <c r="P813" s="37"/>
      <c r="Q813" s="37">
        <v>2079217.83</v>
      </c>
      <c r="R813" s="29">
        <f t="shared" si="62"/>
        <v>3587.3323498964805</v>
      </c>
      <c r="S813" s="29">
        <v>14736.15</v>
      </c>
      <c r="T813" s="24" t="s">
        <v>1359</v>
      </c>
      <c r="U813" s="118">
        <v>6.3</v>
      </c>
      <c r="V813" s="296">
        <v>2020</v>
      </c>
    </row>
    <row r="814" spans="1:22" s="16" customFormat="1" ht="60">
      <c r="A814" s="70">
        <v>52</v>
      </c>
      <c r="B814" s="82" t="s">
        <v>167</v>
      </c>
      <c r="C814" s="24">
        <v>1977</v>
      </c>
      <c r="D814" s="24"/>
      <c r="E814" s="24" t="s">
        <v>374</v>
      </c>
      <c r="F814" s="24">
        <v>2</v>
      </c>
      <c r="G814" s="24">
        <v>3</v>
      </c>
      <c r="H814" s="37">
        <v>913.3</v>
      </c>
      <c r="I814" s="37">
        <v>830.8</v>
      </c>
      <c r="J814" s="37">
        <v>786.8</v>
      </c>
      <c r="K814" s="36">
        <v>39</v>
      </c>
      <c r="L814" s="24" t="s">
        <v>505</v>
      </c>
      <c r="M814" s="37">
        <v>366404.82</v>
      </c>
      <c r="N814" s="37"/>
      <c r="O814" s="37"/>
      <c r="P814" s="37"/>
      <c r="Q814" s="37">
        <v>366404.82</v>
      </c>
      <c r="R814" s="29">
        <f t="shared" si="62"/>
        <v>441.02650457390473</v>
      </c>
      <c r="S814" s="29">
        <v>14736.15</v>
      </c>
      <c r="T814" s="24" t="s">
        <v>1359</v>
      </c>
      <c r="U814" s="118">
        <v>6.3</v>
      </c>
      <c r="V814" s="296">
        <v>2020</v>
      </c>
    </row>
    <row r="815" spans="1:22" ht="45">
      <c r="A815" s="70">
        <v>53</v>
      </c>
      <c r="B815" s="82" t="s">
        <v>168</v>
      </c>
      <c r="C815" s="24">
        <v>1978</v>
      </c>
      <c r="D815" s="24"/>
      <c r="E815" s="24" t="s">
        <v>374</v>
      </c>
      <c r="F815" s="24">
        <v>2</v>
      </c>
      <c r="G815" s="24">
        <v>3</v>
      </c>
      <c r="H815" s="37">
        <v>896.6</v>
      </c>
      <c r="I815" s="37">
        <v>832.5</v>
      </c>
      <c r="J815" s="37">
        <v>815.7</v>
      </c>
      <c r="K815" s="36">
        <v>29</v>
      </c>
      <c r="L815" s="24" t="s">
        <v>384</v>
      </c>
      <c r="M815" s="37">
        <v>512705.95</v>
      </c>
      <c r="N815" s="37"/>
      <c r="O815" s="37"/>
      <c r="P815" s="37"/>
      <c r="Q815" s="37">
        <v>512705.95</v>
      </c>
      <c r="R815" s="29">
        <f t="shared" si="62"/>
        <v>615.863003003003</v>
      </c>
      <c r="S815" s="29">
        <v>14736.15</v>
      </c>
      <c r="T815" s="24" t="s">
        <v>1359</v>
      </c>
      <c r="U815" s="118">
        <v>6.3</v>
      </c>
      <c r="V815" s="296">
        <v>2020</v>
      </c>
    </row>
    <row r="816" spans="1:22" ht="45">
      <c r="A816" s="70">
        <v>54</v>
      </c>
      <c r="B816" s="82" t="s">
        <v>351</v>
      </c>
      <c r="C816" s="24">
        <v>1978</v>
      </c>
      <c r="D816" s="24"/>
      <c r="E816" s="24" t="s">
        <v>374</v>
      </c>
      <c r="F816" s="24">
        <v>2</v>
      </c>
      <c r="G816" s="24">
        <v>3</v>
      </c>
      <c r="H816" s="37">
        <v>922.3</v>
      </c>
      <c r="I816" s="37">
        <v>840.7</v>
      </c>
      <c r="J816" s="37">
        <v>840.7</v>
      </c>
      <c r="K816" s="36">
        <v>26</v>
      </c>
      <c r="L816" s="24" t="s">
        <v>384</v>
      </c>
      <c r="M816" s="37">
        <v>518008.03</v>
      </c>
      <c r="N816" s="37"/>
      <c r="O816" s="37"/>
      <c r="P816" s="37"/>
      <c r="Q816" s="37">
        <v>518008.03</v>
      </c>
      <c r="R816" s="29">
        <f t="shared" si="62"/>
        <v>616.1627572261211</v>
      </c>
      <c r="S816" s="29">
        <v>14736.15</v>
      </c>
      <c r="T816" s="24" t="s">
        <v>1359</v>
      </c>
      <c r="U816" s="118">
        <v>6.3</v>
      </c>
      <c r="V816" s="296">
        <v>2020</v>
      </c>
    </row>
    <row r="817" spans="1:22" ht="45">
      <c r="A817" s="70">
        <v>55</v>
      </c>
      <c r="B817" s="82" t="s">
        <v>1027</v>
      </c>
      <c r="C817" s="24">
        <v>1970</v>
      </c>
      <c r="D817" s="24"/>
      <c r="E817" s="24" t="s">
        <v>374</v>
      </c>
      <c r="F817" s="24">
        <v>2</v>
      </c>
      <c r="G817" s="24">
        <v>1</v>
      </c>
      <c r="H817" s="37">
        <v>350.7</v>
      </c>
      <c r="I817" s="37">
        <v>329.9</v>
      </c>
      <c r="J817" s="37">
        <v>329.9</v>
      </c>
      <c r="K817" s="36">
        <v>13</v>
      </c>
      <c r="L817" s="24" t="s">
        <v>1551</v>
      </c>
      <c r="M817" s="37">
        <v>1442525.49</v>
      </c>
      <c r="N817" s="37"/>
      <c r="O817" s="37"/>
      <c r="P817" s="37"/>
      <c r="Q817" s="37">
        <v>1442525.49</v>
      </c>
      <c r="R817" s="29">
        <f t="shared" si="62"/>
        <v>4372.614398302516</v>
      </c>
      <c r="S817" s="29">
        <v>14736.15</v>
      </c>
      <c r="T817" s="24" t="s">
        <v>1359</v>
      </c>
      <c r="U817" s="118">
        <v>6.3</v>
      </c>
      <c r="V817" s="296">
        <v>2020</v>
      </c>
    </row>
    <row r="818" spans="1:22" ht="45">
      <c r="A818" s="70">
        <v>56</v>
      </c>
      <c r="B818" s="82" t="s">
        <v>1028</v>
      </c>
      <c r="C818" s="24">
        <v>1967</v>
      </c>
      <c r="D818" s="24"/>
      <c r="E818" s="24" t="s">
        <v>374</v>
      </c>
      <c r="F818" s="24">
        <v>2</v>
      </c>
      <c r="G818" s="24">
        <v>4</v>
      </c>
      <c r="H818" s="37">
        <v>815.5</v>
      </c>
      <c r="I818" s="37">
        <v>741.4</v>
      </c>
      <c r="J818" s="37">
        <v>700.2</v>
      </c>
      <c r="K818" s="36">
        <v>34</v>
      </c>
      <c r="L818" s="24" t="s">
        <v>72</v>
      </c>
      <c r="M818" s="37">
        <v>228339.68</v>
      </c>
      <c r="N818" s="37"/>
      <c r="O818" s="37"/>
      <c r="P818" s="37"/>
      <c r="Q818" s="37">
        <v>228339.68</v>
      </c>
      <c r="R818" s="29">
        <f t="shared" si="62"/>
        <v>307.9844618289722</v>
      </c>
      <c r="S818" s="29">
        <v>14736.15</v>
      </c>
      <c r="T818" s="24" t="s">
        <v>1359</v>
      </c>
      <c r="U818" s="118">
        <v>6.3</v>
      </c>
      <c r="V818" s="296">
        <v>2020</v>
      </c>
    </row>
    <row r="819" spans="1:22" ht="45">
      <c r="A819" s="70">
        <v>57</v>
      </c>
      <c r="B819" s="82" t="s">
        <v>1029</v>
      </c>
      <c r="C819" s="24">
        <v>1962</v>
      </c>
      <c r="D819" s="24"/>
      <c r="E819" s="24" t="s">
        <v>374</v>
      </c>
      <c r="F819" s="24">
        <v>2</v>
      </c>
      <c r="G819" s="24">
        <v>2</v>
      </c>
      <c r="H819" s="37">
        <v>597.5</v>
      </c>
      <c r="I819" s="37">
        <v>559.6</v>
      </c>
      <c r="J819" s="37">
        <v>521.9</v>
      </c>
      <c r="K819" s="36">
        <v>40</v>
      </c>
      <c r="L819" s="24" t="s">
        <v>489</v>
      </c>
      <c r="M819" s="37">
        <v>1636847.67</v>
      </c>
      <c r="N819" s="37"/>
      <c r="O819" s="37"/>
      <c r="P819" s="37"/>
      <c r="Q819" s="37">
        <v>1636847.67</v>
      </c>
      <c r="R819" s="29">
        <f t="shared" si="62"/>
        <v>2925.031576125804</v>
      </c>
      <c r="S819" s="29">
        <v>14736.15</v>
      </c>
      <c r="T819" s="24" t="s">
        <v>1359</v>
      </c>
      <c r="U819" s="118">
        <v>6.3</v>
      </c>
      <c r="V819" s="296">
        <v>2020</v>
      </c>
    </row>
    <row r="820" spans="1:22" ht="45">
      <c r="A820" s="70">
        <v>58</v>
      </c>
      <c r="B820" s="82" t="s">
        <v>1030</v>
      </c>
      <c r="C820" s="24">
        <v>1968</v>
      </c>
      <c r="D820" s="24"/>
      <c r="E820" s="24" t="s">
        <v>374</v>
      </c>
      <c r="F820" s="24">
        <v>2</v>
      </c>
      <c r="G820" s="24">
        <v>2</v>
      </c>
      <c r="H820" s="37">
        <v>730.6</v>
      </c>
      <c r="I820" s="37">
        <v>700</v>
      </c>
      <c r="J820" s="37">
        <v>603.8</v>
      </c>
      <c r="K820" s="36">
        <v>43</v>
      </c>
      <c r="L820" s="24" t="s">
        <v>489</v>
      </c>
      <c r="M820" s="37">
        <v>2043928.15</v>
      </c>
      <c r="N820" s="37"/>
      <c r="O820" s="37"/>
      <c r="P820" s="37"/>
      <c r="Q820" s="37">
        <v>2043928.15</v>
      </c>
      <c r="R820" s="29">
        <f t="shared" si="62"/>
        <v>2919.897357142857</v>
      </c>
      <c r="S820" s="29">
        <v>14736.15</v>
      </c>
      <c r="T820" s="24" t="s">
        <v>1359</v>
      </c>
      <c r="U820" s="118">
        <v>6.3</v>
      </c>
      <c r="V820" s="296">
        <v>2020</v>
      </c>
    </row>
    <row r="821" spans="1:22" ht="15">
      <c r="A821" s="70"/>
      <c r="B821" s="112" t="s">
        <v>783</v>
      </c>
      <c r="C821" s="24"/>
      <c r="D821" s="24"/>
      <c r="E821" s="24"/>
      <c r="F821" s="24"/>
      <c r="G821" s="24"/>
      <c r="H821" s="81">
        <f>SUM(H804:H820)</f>
        <v>14347.5</v>
      </c>
      <c r="I821" s="81">
        <f>SUM(I804:I820)</f>
        <v>13212.369999999999</v>
      </c>
      <c r="J821" s="81">
        <f>SUM(J804:J820)</f>
        <v>12259.699999999999</v>
      </c>
      <c r="K821" s="98">
        <f>SUM(K804:K820)</f>
        <v>533</v>
      </c>
      <c r="L821" s="81"/>
      <c r="M821" s="81">
        <f>SUM(M804:M820)</f>
        <v>23207675.029999994</v>
      </c>
      <c r="N821" s="81"/>
      <c r="O821" s="81"/>
      <c r="P821" s="81"/>
      <c r="Q821" s="81">
        <f>SUM(Q804:Q820)</f>
        <v>23207675.029999994</v>
      </c>
      <c r="R821" s="81">
        <f>M821/I821</f>
        <v>1756.5111353981151</v>
      </c>
      <c r="S821" s="29"/>
      <c r="T821" s="76"/>
      <c r="U821" s="175"/>
      <c r="V821" s="296"/>
    </row>
    <row r="822" spans="1:22" ht="15">
      <c r="A822" s="300" t="s">
        <v>1376</v>
      </c>
      <c r="B822" s="301"/>
      <c r="C822" s="301"/>
      <c r="D822" s="301"/>
      <c r="E822" s="301"/>
      <c r="F822" s="301"/>
      <c r="G822" s="301"/>
      <c r="H822" s="301"/>
      <c r="I822" s="301"/>
      <c r="J822" s="301"/>
      <c r="K822" s="301"/>
      <c r="L822" s="301"/>
      <c r="M822" s="301"/>
      <c r="N822" s="301"/>
      <c r="O822" s="301"/>
      <c r="P822" s="301"/>
      <c r="Q822" s="302"/>
      <c r="R822" s="301"/>
      <c r="S822" s="301"/>
      <c r="T822" s="301"/>
      <c r="U822" s="303"/>
      <c r="V822" s="296"/>
    </row>
    <row r="823" spans="1:22" ht="45">
      <c r="A823" s="70">
        <v>59</v>
      </c>
      <c r="B823" s="82" t="s">
        <v>1031</v>
      </c>
      <c r="C823" s="24">
        <v>1979</v>
      </c>
      <c r="D823" s="24"/>
      <c r="E823" s="24" t="s">
        <v>494</v>
      </c>
      <c r="F823" s="24">
        <v>3</v>
      </c>
      <c r="G823" s="24">
        <v>3</v>
      </c>
      <c r="H823" s="37">
        <v>2143.3</v>
      </c>
      <c r="I823" s="37">
        <v>1964.3</v>
      </c>
      <c r="J823" s="37">
        <v>1896.6</v>
      </c>
      <c r="K823" s="36">
        <v>79</v>
      </c>
      <c r="L823" s="24" t="s">
        <v>489</v>
      </c>
      <c r="M823" s="37">
        <v>1787243.14</v>
      </c>
      <c r="N823" s="37"/>
      <c r="O823" s="37"/>
      <c r="P823" s="37"/>
      <c r="Q823" s="37">
        <v>1787243.14</v>
      </c>
      <c r="R823" s="29">
        <f aca="true" t="shared" si="63" ref="R823:R844">M823/I823</f>
        <v>909.8626177264165</v>
      </c>
      <c r="S823" s="29">
        <v>14736.15</v>
      </c>
      <c r="T823" s="24" t="s">
        <v>1359</v>
      </c>
      <c r="U823" s="118">
        <v>6.3</v>
      </c>
      <c r="V823" s="296">
        <v>2020</v>
      </c>
    </row>
    <row r="824" spans="1:22" ht="45">
      <c r="A824" s="70">
        <v>60</v>
      </c>
      <c r="B824" s="82" t="s">
        <v>352</v>
      </c>
      <c r="C824" s="24">
        <v>1980</v>
      </c>
      <c r="D824" s="24"/>
      <c r="E824" s="24" t="s">
        <v>374</v>
      </c>
      <c r="F824" s="24">
        <v>2</v>
      </c>
      <c r="G824" s="24">
        <v>3</v>
      </c>
      <c r="H824" s="37">
        <v>866.38</v>
      </c>
      <c r="I824" s="37">
        <v>782.38</v>
      </c>
      <c r="J824" s="37">
        <v>698.78</v>
      </c>
      <c r="K824" s="36">
        <v>58</v>
      </c>
      <c r="L824" s="24" t="s">
        <v>384</v>
      </c>
      <c r="M824" s="37">
        <v>454255.59</v>
      </c>
      <c r="N824" s="37"/>
      <c r="O824" s="37"/>
      <c r="P824" s="37"/>
      <c r="Q824" s="37">
        <v>454255.59</v>
      </c>
      <c r="R824" s="29">
        <f t="shared" si="63"/>
        <v>580.6073647076869</v>
      </c>
      <c r="S824" s="29">
        <v>14738.15</v>
      </c>
      <c r="T824" s="24" t="s">
        <v>1359</v>
      </c>
      <c r="U824" s="118">
        <v>6.3</v>
      </c>
      <c r="V824" s="296">
        <v>2020</v>
      </c>
    </row>
    <row r="825" spans="1:22" ht="45">
      <c r="A825" s="70">
        <v>61</v>
      </c>
      <c r="B825" s="82" t="s">
        <v>1033</v>
      </c>
      <c r="C825" s="24">
        <v>1970</v>
      </c>
      <c r="D825" s="24"/>
      <c r="E825" s="24" t="s">
        <v>374</v>
      </c>
      <c r="F825" s="24">
        <v>2</v>
      </c>
      <c r="G825" s="24">
        <v>2</v>
      </c>
      <c r="H825" s="37">
        <v>506.8</v>
      </c>
      <c r="I825" s="37">
        <v>480.5</v>
      </c>
      <c r="J825" s="37">
        <v>302.6</v>
      </c>
      <c r="K825" s="36">
        <v>31</v>
      </c>
      <c r="L825" s="24" t="s">
        <v>384</v>
      </c>
      <c r="M825" s="37">
        <v>257956.74</v>
      </c>
      <c r="N825" s="37"/>
      <c r="O825" s="37"/>
      <c r="P825" s="37"/>
      <c r="Q825" s="37">
        <v>257956.74</v>
      </c>
      <c r="R825" s="29">
        <f t="shared" si="63"/>
        <v>536.8506555671175</v>
      </c>
      <c r="S825" s="29">
        <v>14739.15</v>
      </c>
      <c r="T825" s="24" t="s">
        <v>1359</v>
      </c>
      <c r="U825" s="118">
        <v>6.3</v>
      </c>
      <c r="V825" s="296">
        <v>2020</v>
      </c>
    </row>
    <row r="826" spans="1:22" ht="45">
      <c r="A826" s="70">
        <v>62</v>
      </c>
      <c r="B826" s="82" t="s">
        <v>145</v>
      </c>
      <c r="C826" s="24">
        <v>1980</v>
      </c>
      <c r="D826" s="24"/>
      <c r="E826" s="24" t="s">
        <v>374</v>
      </c>
      <c r="F826" s="24">
        <v>2</v>
      </c>
      <c r="G826" s="24">
        <v>3</v>
      </c>
      <c r="H826" s="37">
        <v>1102.1</v>
      </c>
      <c r="I826" s="37">
        <v>987.2</v>
      </c>
      <c r="J826" s="37">
        <v>866.4</v>
      </c>
      <c r="K826" s="36">
        <v>63</v>
      </c>
      <c r="L826" s="24" t="s">
        <v>384</v>
      </c>
      <c r="M826" s="37">
        <v>569426.98</v>
      </c>
      <c r="N826" s="37"/>
      <c r="O826" s="37"/>
      <c r="P826" s="37"/>
      <c r="Q826" s="37">
        <v>569426.98</v>
      </c>
      <c r="R826" s="29">
        <f t="shared" si="63"/>
        <v>576.8101499189627</v>
      </c>
      <c r="S826" s="29">
        <v>14740.15</v>
      </c>
      <c r="T826" s="24" t="s">
        <v>1359</v>
      </c>
      <c r="U826" s="118">
        <v>6.3</v>
      </c>
      <c r="V826" s="296">
        <v>2020</v>
      </c>
    </row>
    <row r="827" spans="1:22" ht="120">
      <c r="A827" s="70">
        <v>63</v>
      </c>
      <c r="B827" s="82" t="s">
        <v>1034</v>
      </c>
      <c r="C827" s="24">
        <v>1969</v>
      </c>
      <c r="D827" s="24"/>
      <c r="E827" s="24" t="s">
        <v>374</v>
      </c>
      <c r="F827" s="24">
        <v>2</v>
      </c>
      <c r="G827" s="24">
        <v>2</v>
      </c>
      <c r="H827" s="37">
        <v>771.8</v>
      </c>
      <c r="I827" s="37">
        <v>712.7</v>
      </c>
      <c r="J827" s="37">
        <v>520.4</v>
      </c>
      <c r="K827" s="36">
        <v>56</v>
      </c>
      <c r="L827" s="24" t="s">
        <v>1552</v>
      </c>
      <c r="M827" s="37">
        <v>1284583.54</v>
      </c>
      <c r="N827" s="37"/>
      <c r="O827" s="37"/>
      <c r="P827" s="37"/>
      <c r="Q827" s="37">
        <v>1284583.54</v>
      </c>
      <c r="R827" s="29">
        <f t="shared" si="63"/>
        <v>1802.4183246807913</v>
      </c>
      <c r="S827" s="29">
        <v>14741.15</v>
      </c>
      <c r="T827" s="24" t="s">
        <v>1359</v>
      </c>
      <c r="U827" s="118">
        <v>6.3</v>
      </c>
      <c r="V827" s="296">
        <v>2020</v>
      </c>
    </row>
    <row r="828" spans="1:22" ht="45">
      <c r="A828" s="70">
        <v>64</v>
      </c>
      <c r="B828" s="82" t="s">
        <v>1092</v>
      </c>
      <c r="C828" s="24">
        <v>1976</v>
      </c>
      <c r="D828" s="24"/>
      <c r="E828" s="24" t="s">
        <v>374</v>
      </c>
      <c r="F828" s="24">
        <v>2</v>
      </c>
      <c r="G828" s="24">
        <v>3</v>
      </c>
      <c r="H828" s="37">
        <v>919.2</v>
      </c>
      <c r="I828" s="37">
        <v>834.6</v>
      </c>
      <c r="J828" s="37">
        <v>834.6</v>
      </c>
      <c r="K828" s="36">
        <v>53</v>
      </c>
      <c r="L828" s="24" t="s">
        <v>384</v>
      </c>
      <c r="M828" s="37">
        <v>475356.14</v>
      </c>
      <c r="N828" s="37"/>
      <c r="O828" s="37"/>
      <c r="P828" s="37"/>
      <c r="Q828" s="37">
        <v>475356.14</v>
      </c>
      <c r="R828" s="29">
        <f t="shared" si="63"/>
        <v>569.5616343158399</v>
      </c>
      <c r="S828" s="29">
        <v>14742.15</v>
      </c>
      <c r="T828" s="24" t="s">
        <v>1359</v>
      </c>
      <c r="U828" s="118">
        <v>6.3</v>
      </c>
      <c r="V828" s="296">
        <v>2020</v>
      </c>
    </row>
    <row r="829" spans="1:22" ht="45">
      <c r="A829" s="70">
        <v>65</v>
      </c>
      <c r="B829" s="82" t="s">
        <v>1093</v>
      </c>
      <c r="C829" s="24">
        <v>1976</v>
      </c>
      <c r="D829" s="24"/>
      <c r="E829" s="24" t="s">
        <v>374</v>
      </c>
      <c r="F829" s="24">
        <v>2</v>
      </c>
      <c r="G829" s="24">
        <v>3</v>
      </c>
      <c r="H829" s="37">
        <v>925.7</v>
      </c>
      <c r="I829" s="37">
        <v>841.3</v>
      </c>
      <c r="J829" s="37">
        <v>660.2</v>
      </c>
      <c r="K829" s="36">
        <v>45</v>
      </c>
      <c r="L829" s="24" t="s">
        <v>384</v>
      </c>
      <c r="M829" s="37">
        <v>512944.54</v>
      </c>
      <c r="N829" s="37"/>
      <c r="O829" s="37"/>
      <c r="P829" s="37"/>
      <c r="Q829" s="37">
        <v>512944.54</v>
      </c>
      <c r="R829" s="29">
        <f t="shared" si="63"/>
        <v>609.7046713419708</v>
      </c>
      <c r="S829" s="29">
        <v>14743.15</v>
      </c>
      <c r="T829" s="24" t="s">
        <v>1359</v>
      </c>
      <c r="U829" s="118">
        <v>6.3</v>
      </c>
      <c r="V829" s="296">
        <v>2020</v>
      </c>
    </row>
    <row r="830" spans="1:22" ht="45">
      <c r="A830" s="70">
        <v>66</v>
      </c>
      <c r="B830" s="82" t="s">
        <v>1094</v>
      </c>
      <c r="C830" s="24">
        <v>1979</v>
      </c>
      <c r="D830" s="24"/>
      <c r="E830" s="24" t="s">
        <v>374</v>
      </c>
      <c r="F830" s="24">
        <v>2</v>
      </c>
      <c r="G830" s="24">
        <v>3</v>
      </c>
      <c r="H830" s="37">
        <v>907.02</v>
      </c>
      <c r="I830" s="37">
        <v>821.52</v>
      </c>
      <c r="J830" s="37">
        <v>637.82</v>
      </c>
      <c r="K830" s="36">
        <v>51</v>
      </c>
      <c r="L830" s="24" t="s">
        <v>384</v>
      </c>
      <c r="M830" s="37">
        <v>560512.48</v>
      </c>
      <c r="N830" s="37"/>
      <c r="O830" s="37"/>
      <c r="P830" s="37"/>
      <c r="Q830" s="37">
        <v>560512.48</v>
      </c>
      <c r="R830" s="29">
        <f t="shared" si="63"/>
        <v>682.287077612231</v>
      </c>
      <c r="S830" s="29">
        <v>14744.15</v>
      </c>
      <c r="T830" s="24" t="s">
        <v>1359</v>
      </c>
      <c r="U830" s="118">
        <v>6.3</v>
      </c>
      <c r="V830" s="296">
        <v>2020</v>
      </c>
    </row>
    <row r="831" spans="1:22" ht="45">
      <c r="A831" s="70">
        <v>67</v>
      </c>
      <c r="B831" s="82" t="s">
        <v>1095</v>
      </c>
      <c r="C831" s="24">
        <v>1979</v>
      </c>
      <c r="D831" s="24"/>
      <c r="E831" s="24" t="s">
        <v>374</v>
      </c>
      <c r="F831" s="24">
        <v>2</v>
      </c>
      <c r="G831" s="24">
        <v>3</v>
      </c>
      <c r="H831" s="37">
        <v>929.8</v>
      </c>
      <c r="I831" s="37">
        <v>844.1</v>
      </c>
      <c r="J831" s="37">
        <v>750.1</v>
      </c>
      <c r="K831" s="36">
        <v>48</v>
      </c>
      <c r="L831" s="24" t="s">
        <v>384</v>
      </c>
      <c r="M831" s="37">
        <v>463649.55</v>
      </c>
      <c r="N831" s="37"/>
      <c r="O831" s="37"/>
      <c r="P831" s="37"/>
      <c r="Q831" s="37">
        <v>463649.55</v>
      </c>
      <c r="R831" s="29">
        <f t="shared" si="63"/>
        <v>549.2827271650278</v>
      </c>
      <c r="S831" s="29">
        <v>14745.15</v>
      </c>
      <c r="T831" s="24" t="s">
        <v>1359</v>
      </c>
      <c r="U831" s="118">
        <v>6.3</v>
      </c>
      <c r="V831" s="296">
        <v>2020</v>
      </c>
    </row>
    <row r="832" spans="1:22" ht="45">
      <c r="A832" s="70">
        <v>68</v>
      </c>
      <c r="B832" s="82" t="s">
        <v>1096</v>
      </c>
      <c r="C832" s="24">
        <v>1977</v>
      </c>
      <c r="D832" s="24"/>
      <c r="E832" s="24" t="s">
        <v>374</v>
      </c>
      <c r="F832" s="24">
        <v>2</v>
      </c>
      <c r="G832" s="24">
        <v>3</v>
      </c>
      <c r="H832" s="37">
        <v>924.2</v>
      </c>
      <c r="I832" s="37">
        <v>848.1</v>
      </c>
      <c r="J832" s="37">
        <v>755.9</v>
      </c>
      <c r="K832" s="36">
        <v>43</v>
      </c>
      <c r="L832" s="24" t="s">
        <v>384</v>
      </c>
      <c r="M832" s="37">
        <v>514558.53</v>
      </c>
      <c r="N832" s="37"/>
      <c r="O832" s="37"/>
      <c r="P832" s="37"/>
      <c r="Q832" s="37">
        <v>514558.53</v>
      </c>
      <c r="R832" s="29">
        <f t="shared" si="63"/>
        <v>606.7191722674213</v>
      </c>
      <c r="S832" s="29">
        <v>14746.15</v>
      </c>
      <c r="T832" s="24" t="s">
        <v>1359</v>
      </c>
      <c r="U832" s="118">
        <v>6.3</v>
      </c>
      <c r="V832" s="296">
        <v>2020</v>
      </c>
    </row>
    <row r="833" spans="1:22" ht="135">
      <c r="A833" s="70">
        <v>69</v>
      </c>
      <c r="B833" s="82" t="s">
        <v>1097</v>
      </c>
      <c r="C833" s="24">
        <v>1976</v>
      </c>
      <c r="D833" s="24"/>
      <c r="E833" s="24" t="s">
        <v>374</v>
      </c>
      <c r="F833" s="24">
        <v>3</v>
      </c>
      <c r="G833" s="24">
        <v>1</v>
      </c>
      <c r="H833" s="37">
        <v>1820.2</v>
      </c>
      <c r="I833" s="37">
        <v>1207.4</v>
      </c>
      <c r="J833" s="37">
        <v>1124.8</v>
      </c>
      <c r="K833" s="36">
        <v>131</v>
      </c>
      <c r="L833" s="24" t="s">
        <v>1553</v>
      </c>
      <c r="M833" s="37">
        <v>1727032.92</v>
      </c>
      <c r="N833" s="37"/>
      <c r="O833" s="37"/>
      <c r="P833" s="37"/>
      <c r="Q833" s="37">
        <v>1727032.92</v>
      </c>
      <c r="R833" s="29">
        <f t="shared" si="63"/>
        <v>1430.373463640881</v>
      </c>
      <c r="S833" s="29">
        <v>14747.15</v>
      </c>
      <c r="T833" s="24" t="s">
        <v>1359</v>
      </c>
      <c r="U833" s="118">
        <v>6.3</v>
      </c>
      <c r="V833" s="296">
        <v>2020</v>
      </c>
    </row>
    <row r="834" spans="1:22" ht="45">
      <c r="A834" s="70">
        <v>70</v>
      </c>
      <c r="B834" s="82" t="s">
        <v>1098</v>
      </c>
      <c r="C834" s="24">
        <v>1976</v>
      </c>
      <c r="D834" s="24"/>
      <c r="E834" s="24" t="s">
        <v>374</v>
      </c>
      <c r="F834" s="24">
        <v>2</v>
      </c>
      <c r="G834" s="24">
        <v>2</v>
      </c>
      <c r="H834" s="37">
        <v>669.4</v>
      </c>
      <c r="I834" s="37">
        <v>617.4</v>
      </c>
      <c r="J834" s="37">
        <v>617.4</v>
      </c>
      <c r="K834" s="36">
        <v>33</v>
      </c>
      <c r="L834" s="24" t="s">
        <v>384</v>
      </c>
      <c r="M834" s="37">
        <v>389618.5</v>
      </c>
      <c r="N834" s="37"/>
      <c r="O834" s="37"/>
      <c r="P834" s="37"/>
      <c r="Q834" s="37">
        <v>389618.5</v>
      </c>
      <c r="R834" s="29">
        <f t="shared" si="63"/>
        <v>631.0633300939423</v>
      </c>
      <c r="S834" s="29">
        <v>14748.15</v>
      </c>
      <c r="T834" s="24" t="s">
        <v>1359</v>
      </c>
      <c r="U834" s="118">
        <v>6.3</v>
      </c>
      <c r="V834" s="296">
        <v>2020</v>
      </c>
    </row>
    <row r="835" spans="1:22" ht="45">
      <c r="A835" s="70">
        <v>71</v>
      </c>
      <c r="B835" s="82" t="s">
        <v>353</v>
      </c>
      <c r="C835" s="24">
        <v>1966</v>
      </c>
      <c r="D835" s="24"/>
      <c r="E835" s="24" t="s">
        <v>374</v>
      </c>
      <c r="F835" s="24">
        <v>2</v>
      </c>
      <c r="G835" s="24">
        <v>2</v>
      </c>
      <c r="H835" s="37">
        <v>482.7</v>
      </c>
      <c r="I835" s="37">
        <v>456.4</v>
      </c>
      <c r="J835" s="37">
        <v>456.4</v>
      </c>
      <c r="K835" s="36">
        <v>39</v>
      </c>
      <c r="L835" s="24" t="s">
        <v>384</v>
      </c>
      <c r="M835" s="37">
        <v>297421.11</v>
      </c>
      <c r="N835" s="37"/>
      <c r="O835" s="37"/>
      <c r="P835" s="37"/>
      <c r="Q835" s="37">
        <v>297421.11</v>
      </c>
      <c r="R835" s="29">
        <f t="shared" si="63"/>
        <v>651.6676380368098</v>
      </c>
      <c r="S835" s="29">
        <v>14749.15</v>
      </c>
      <c r="T835" s="24" t="s">
        <v>1359</v>
      </c>
      <c r="U835" s="118">
        <v>6.3</v>
      </c>
      <c r="V835" s="296">
        <v>2020</v>
      </c>
    </row>
    <row r="836" spans="1:22" ht="45">
      <c r="A836" s="70">
        <v>72</v>
      </c>
      <c r="B836" s="82" t="s">
        <v>1099</v>
      </c>
      <c r="C836" s="24">
        <v>1981</v>
      </c>
      <c r="D836" s="24"/>
      <c r="E836" s="24" t="s">
        <v>494</v>
      </c>
      <c r="F836" s="24">
        <v>3</v>
      </c>
      <c r="G836" s="24">
        <v>3</v>
      </c>
      <c r="H836" s="37">
        <v>1646.7</v>
      </c>
      <c r="I836" s="37">
        <v>1504.7</v>
      </c>
      <c r="J836" s="37">
        <v>1313.6</v>
      </c>
      <c r="K836" s="36">
        <v>80</v>
      </c>
      <c r="L836" s="24" t="s">
        <v>489</v>
      </c>
      <c r="M836" s="37">
        <v>1213568.47</v>
      </c>
      <c r="N836" s="37"/>
      <c r="O836" s="37"/>
      <c r="P836" s="37"/>
      <c r="Q836" s="37">
        <v>1213568.47</v>
      </c>
      <c r="R836" s="29">
        <f t="shared" si="63"/>
        <v>806.5185551937262</v>
      </c>
      <c r="S836" s="29">
        <v>14750.15</v>
      </c>
      <c r="T836" s="24" t="s">
        <v>1359</v>
      </c>
      <c r="U836" s="118">
        <v>6.3</v>
      </c>
      <c r="V836" s="296">
        <v>2020</v>
      </c>
    </row>
    <row r="837" spans="1:22" ht="45">
      <c r="A837" s="70">
        <v>73</v>
      </c>
      <c r="B837" s="82" t="s">
        <v>354</v>
      </c>
      <c r="C837" s="24">
        <v>1981</v>
      </c>
      <c r="D837" s="24"/>
      <c r="E837" s="24" t="s">
        <v>374</v>
      </c>
      <c r="F837" s="24">
        <v>5</v>
      </c>
      <c r="G837" s="24">
        <v>1</v>
      </c>
      <c r="H837" s="37">
        <v>1080.8</v>
      </c>
      <c r="I837" s="37">
        <v>993.6</v>
      </c>
      <c r="J837" s="37">
        <v>902.1</v>
      </c>
      <c r="K837" s="36">
        <v>41</v>
      </c>
      <c r="L837" s="24" t="s">
        <v>489</v>
      </c>
      <c r="M837" s="37">
        <v>1020661.35</v>
      </c>
      <c r="N837" s="37"/>
      <c r="O837" s="37"/>
      <c r="P837" s="37"/>
      <c r="Q837" s="37">
        <v>1020661.35</v>
      </c>
      <c r="R837" s="29">
        <f t="shared" si="63"/>
        <v>1027.2356582125603</v>
      </c>
      <c r="S837" s="29">
        <v>14751.15</v>
      </c>
      <c r="T837" s="24" t="s">
        <v>1359</v>
      </c>
      <c r="U837" s="118">
        <v>6.3</v>
      </c>
      <c r="V837" s="296">
        <v>2020</v>
      </c>
    </row>
    <row r="838" spans="1:22" ht="45">
      <c r="A838" s="70">
        <v>74</v>
      </c>
      <c r="B838" s="82" t="s">
        <v>1020</v>
      </c>
      <c r="C838" s="24">
        <v>1980</v>
      </c>
      <c r="D838" s="24"/>
      <c r="E838" s="24" t="s">
        <v>374</v>
      </c>
      <c r="F838" s="24">
        <v>5</v>
      </c>
      <c r="G838" s="24">
        <v>1</v>
      </c>
      <c r="H838" s="37">
        <v>1052.5</v>
      </c>
      <c r="I838" s="37">
        <v>965.9</v>
      </c>
      <c r="J838" s="37">
        <v>915.1</v>
      </c>
      <c r="K838" s="36">
        <v>38</v>
      </c>
      <c r="L838" s="24" t="s">
        <v>147</v>
      </c>
      <c r="M838" s="37">
        <v>611403.24</v>
      </c>
      <c r="N838" s="37"/>
      <c r="O838" s="37"/>
      <c r="P838" s="37"/>
      <c r="Q838" s="37">
        <v>611403.24</v>
      </c>
      <c r="R838" s="29">
        <f t="shared" si="63"/>
        <v>632.9881354177451</v>
      </c>
      <c r="S838" s="29">
        <v>14752.15</v>
      </c>
      <c r="T838" s="24" t="s">
        <v>1359</v>
      </c>
      <c r="U838" s="118">
        <v>6.3</v>
      </c>
      <c r="V838" s="296">
        <v>2020</v>
      </c>
    </row>
    <row r="839" spans="1:22" ht="45">
      <c r="A839" s="70">
        <v>75</v>
      </c>
      <c r="B839" s="82" t="s">
        <v>1021</v>
      </c>
      <c r="C839" s="62">
        <v>1980</v>
      </c>
      <c r="D839" s="82"/>
      <c r="E839" s="62" t="s">
        <v>374</v>
      </c>
      <c r="F839" s="24">
        <v>5</v>
      </c>
      <c r="G839" s="24">
        <v>1</v>
      </c>
      <c r="H839" s="37">
        <v>975.8</v>
      </c>
      <c r="I839" s="37">
        <v>888.9</v>
      </c>
      <c r="J839" s="37">
        <v>647.6</v>
      </c>
      <c r="K839" s="36">
        <v>44</v>
      </c>
      <c r="L839" s="62" t="s">
        <v>147</v>
      </c>
      <c r="M839" s="37">
        <v>606258.92</v>
      </c>
      <c r="N839" s="82"/>
      <c r="O839" s="82"/>
      <c r="P839" s="82"/>
      <c r="Q839" s="37">
        <v>606258.92</v>
      </c>
      <c r="R839" s="29">
        <f t="shared" si="63"/>
        <v>682.0327595905052</v>
      </c>
      <c r="S839" s="29">
        <v>14753.15</v>
      </c>
      <c r="T839" s="24" t="s">
        <v>1359</v>
      </c>
      <c r="U839" s="118">
        <v>6.3</v>
      </c>
      <c r="V839" s="296">
        <v>2020</v>
      </c>
    </row>
    <row r="840" spans="1:22" ht="45">
      <c r="A840" s="70">
        <v>76</v>
      </c>
      <c r="B840" s="82" t="s">
        <v>142</v>
      </c>
      <c r="C840" s="24">
        <v>1976</v>
      </c>
      <c r="D840" s="24"/>
      <c r="E840" s="24" t="s">
        <v>494</v>
      </c>
      <c r="F840" s="24">
        <v>5</v>
      </c>
      <c r="G840" s="24">
        <v>10</v>
      </c>
      <c r="H840" s="37">
        <v>5308</v>
      </c>
      <c r="I840" s="37">
        <v>5003.9</v>
      </c>
      <c r="J840" s="37">
        <v>4530.7</v>
      </c>
      <c r="K840" s="36">
        <v>238</v>
      </c>
      <c r="L840" s="24" t="s">
        <v>384</v>
      </c>
      <c r="M840" s="37">
        <v>2635751.08</v>
      </c>
      <c r="N840" s="37"/>
      <c r="O840" s="37"/>
      <c r="P840" s="37"/>
      <c r="Q840" s="37">
        <v>2635751.08</v>
      </c>
      <c r="R840" s="29">
        <f t="shared" si="63"/>
        <v>526.7393592997463</v>
      </c>
      <c r="S840" s="29">
        <v>14754.15</v>
      </c>
      <c r="T840" s="24" t="s">
        <v>1359</v>
      </c>
      <c r="U840" s="118">
        <v>6.3</v>
      </c>
      <c r="V840" s="296">
        <v>2020</v>
      </c>
    </row>
    <row r="841" spans="1:22" ht="15">
      <c r="A841" s="70"/>
      <c r="B841" s="112" t="s">
        <v>1563</v>
      </c>
      <c r="C841" s="24"/>
      <c r="D841" s="24"/>
      <c r="E841" s="24"/>
      <c r="F841" s="24"/>
      <c r="G841" s="24"/>
      <c r="H841" s="81">
        <f>SUM(H823:H840)</f>
        <v>23032.399999999998</v>
      </c>
      <c r="I841" s="81">
        <f>SUM(I823:I840)</f>
        <v>20754.9</v>
      </c>
      <c r="J841" s="81">
        <f>SUM(J823:J840)</f>
        <v>18431.1</v>
      </c>
      <c r="K841" s="98">
        <f>SUM(K823:K840)</f>
        <v>1171</v>
      </c>
      <c r="L841" s="81"/>
      <c r="M841" s="81">
        <f>SUM(M823:M840)</f>
        <v>15382202.82</v>
      </c>
      <c r="N841" s="81"/>
      <c r="O841" s="81"/>
      <c r="P841" s="81"/>
      <c r="Q841" s="81">
        <f>SUM(Q823:Q840)</f>
        <v>15382202.82</v>
      </c>
      <c r="R841" s="96">
        <f t="shared" si="63"/>
        <v>741.135964037408</v>
      </c>
      <c r="S841" s="29"/>
      <c r="T841" s="76"/>
      <c r="U841" s="175"/>
      <c r="V841" s="296"/>
    </row>
    <row r="842" spans="1:22" ht="15">
      <c r="A842" s="300" t="s">
        <v>765</v>
      </c>
      <c r="B842" s="301"/>
      <c r="C842" s="301"/>
      <c r="D842" s="301"/>
      <c r="E842" s="301"/>
      <c r="F842" s="301"/>
      <c r="G842" s="301"/>
      <c r="H842" s="301"/>
      <c r="I842" s="301"/>
      <c r="J842" s="301"/>
      <c r="K842" s="301"/>
      <c r="L842" s="301"/>
      <c r="M842" s="301"/>
      <c r="N842" s="301"/>
      <c r="O842" s="301"/>
      <c r="P842" s="301"/>
      <c r="Q842" s="302"/>
      <c r="R842" s="301"/>
      <c r="S842" s="301"/>
      <c r="T842" s="301"/>
      <c r="U842" s="303"/>
      <c r="V842" s="296"/>
    </row>
    <row r="843" spans="1:22" ht="45">
      <c r="A843" s="70">
        <v>77</v>
      </c>
      <c r="B843" s="82" t="s">
        <v>484</v>
      </c>
      <c r="C843" s="62">
        <v>1998</v>
      </c>
      <c r="D843" s="62"/>
      <c r="E843" s="62" t="s">
        <v>374</v>
      </c>
      <c r="F843" s="62">
        <v>2</v>
      </c>
      <c r="G843" s="62">
        <v>3</v>
      </c>
      <c r="H843" s="63">
        <v>1026</v>
      </c>
      <c r="I843" s="63">
        <v>987</v>
      </c>
      <c r="J843" s="63">
        <v>987</v>
      </c>
      <c r="K843" s="267">
        <v>34</v>
      </c>
      <c r="L843" s="62" t="s">
        <v>489</v>
      </c>
      <c r="M843" s="63">
        <v>3202825.34</v>
      </c>
      <c r="N843" s="63"/>
      <c r="O843" s="63"/>
      <c r="P843" s="63"/>
      <c r="Q843" s="63">
        <v>3202825.34</v>
      </c>
      <c r="R843" s="29">
        <f t="shared" si="63"/>
        <v>3245.010476190476</v>
      </c>
      <c r="S843" s="29">
        <v>14754.15</v>
      </c>
      <c r="T843" s="24" t="s">
        <v>1359</v>
      </c>
      <c r="U843" s="118">
        <v>6.3</v>
      </c>
      <c r="V843" s="296">
        <v>2020</v>
      </c>
    </row>
    <row r="844" spans="1:22" ht="15">
      <c r="A844" s="182"/>
      <c r="B844" s="183" t="s">
        <v>768</v>
      </c>
      <c r="C844" s="82"/>
      <c r="D844" s="82"/>
      <c r="E844" s="82"/>
      <c r="F844" s="82"/>
      <c r="G844" s="82"/>
      <c r="H844" s="116">
        <f>SUM(H843)</f>
        <v>1026</v>
      </c>
      <c r="I844" s="116">
        <f>SUM(I843)</f>
        <v>987</v>
      </c>
      <c r="J844" s="116">
        <f>SUM(J843)</f>
        <v>987</v>
      </c>
      <c r="K844" s="167">
        <f>SUM(K843)</f>
        <v>34</v>
      </c>
      <c r="L844" s="82"/>
      <c r="M844" s="116">
        <f>SUM(M843)</f>
        <v>3202825.34</v>
      </c>
      <c r="N844" s="116"/>
      <c r="O844" s="116"/>
      <c r="P844" s="116"/>
      <c r="Q844" s="116">
        <f>SUM(Q843)</f>
        <v>3202825.34</v>
      </c>
      <c r="R844" s="96">
        <f t="shared" si="63"/>
        <v>3245.010476190476</v>
      </c>
      <c r="S844" s="82"/>
      <c r="T844" s="82"/>
      <c r="U844" s="184"/>
      <c r="V844" s="296"/>
    </row>
    <row r="845" spans="1:22" ht="15">
      <c r="A845" s="300" t="s">
        <v>1365</v>
      </c>
      <c r="B845" s="301"/>
      <c r="C845" s="301"/>
      <c r="D845" s="301"/>
      <c r="E845" s="301"/>
      <c r="F845" s="301"/>
      <c r="G845" s="301"/>
      <c r="H845" s="301"/>
      <c r="I845" s="301"/>
      <c r="J845" s="301"/>
      <c r="K845" s="301"/>
      <c r="L845" s="301"/>
      <c r="M845" s="301"/>
      <c r="N845" s="301"/>
      <c r="O845" s="301"/>
      <c r="P845" s="301"/>
      <c r="Q845" s="302"/>
      <c r="R845" s="301"/>
      <c r="S845" s="301"/>
      <c r="T845" s="301"/>
      <c r="U845" s="303"/>
      <c r="V845" s="296"/>
    </row>
    <row r="846" spans="1:22" ht="45">
      <c r="A846" s="70">
        <v>78</v>
      </c>
      <c r="B846" s="82" t="s">
        <v>248</v>
      </c>
      <c r="C846" s="62">
        <v>1968</v>
      </c>
      <c r="D846" s="62"/>
      <c r="E846" s="76" t="s">
        <v>374</v>
      </c>
      <c r="F846" s="62">
        <v>2</v>
      </c>
      <c r="G846" s="62">
        <v>2</v>
      </c>
      <c r="H846" s="63">
        <v>516.7</v>
      </c>
      <c r="I846" s="37">
        <v>467.1</v>
      </c>
      <c r="J846" s="37">
        <v>437.15</v>
      </c>
      <c r="K846" s="36">
        <v>29</v>
      </c>
      <c r="L846" s="24" t="s">
        <v>489</v>
      </c>
      <c r="M846" s="37">
        <v>1530613.82</v>
      </c>
      <c r="N846" s="37"/>
      <c r="O846" s="37"/>
      <c r="P846" s="37"/>
      <c r="Q846" s="37">
        <v>1530613.82</v>
      </c>
      <c r="R846" s="29">
        <f aca="true" t="shared" si="64" ref="R846:R851">M846/I846</f>
        <v>3276.843973453222</v>
      </c>
      <c r="S846" s="29">
        <v>14736.15</v>
      </c>
      <c r="T846" s="24" t="s">
        <v>1359</v>
      </c>
      <c r="U846" s="118">
        <v>6.3</v>
      </c>
      <c r="V846" s="296">
        <v>2020</v>
      </c>
    </row>
    <row r="847" spans="1:22" ht="45">
      <c r="A847" s="70">
        <v>79</v>
      </c>
      <c r="B847" s="82" t="s">
        <v>249</v>
      </c>
      <c r="C847" s="62">
        <v>1968</v>
      </c>
      <c r="D847" s="62"/>
      <c r="E847" s="76" t="s">
        <v>374</v>
      </c>
      <c r="F847" s="62">
        <v>2</v>
      </c>
      <c r="G847" s="62">
        <v>2</v>
      </c>
      <c r="H847" s="63">
        <v>598.83</v>
      </c>
      <c r="I847" s="37">
        <v>550.43</v>
      </c>
      <c r="J847" s="37">
        <v>367.08</v>
      </c>
      <c r="K847" s="36">
        <v>31</v>
      </c>
      <c r="L847" s="24" t="s">
        <v>721</v>
      </c>
      <c r="M847" s="37">
        <v>212717.17</v>
      </c>
      <c r="N847" s="37"/>
      <c r="O847" s="37"/>
      <c r="P847" s="37"/>
      <c r="Q847" s="37">
        <v>212717.17</v>
      </c>
      <c r="R847" s="29">
        <f t="shared" si="64"/>
        <v>386.45635230637873</v>
      </c>
      <c r="S847" s="29">
        <v>14736.15</v>
      </c>
      <c r="T847" s="24" t="s">
        <v>1359</v>
      </c>
      <c r="U847" s="118">
        <v>6.3</v>
      </c>
      <c r="V847" s="296">
        <v>2020</v>
      </c>
    </row>
    <row r="848" spans="1:22" ht="45">
      <c r="A848" s="70">
        <v>80</v>
      </c>
      <c r="B848" s="82" t="s">
        <v>610</v>
      </c>
      <c r="C848" s="62">
        <v>1970</v>
      </c>
      <c r="D848" s="62">
        <v>2009</v>
      </c>
      <c r="E848" s="76" t="s">
        <v>374</v>
      </c>
      <c r="F848" s="62">
        <v>2</v>
      </c>
      <c r="G848" s="62">
        <v>2</v>
      </c>
      <c r="H848" s="63">
        <v>461.39</v>
      </c>
      <c r="I848" s="37">
        <v>402.43</v>
      </c>
      <c r="J848" s="37">
        <v>262.93</v>
      </c>
      <c r="K848" s="36">
        <v>25</v>
      </c>
      <c r="L848" s="24" t="s">
        <v>384</v>
      </c>
      <c r="M848" s="37">
        <v>284108.43</v>
      </c>
      <c r="N848" s="37"/>
      <c r="O848" s="37"/>
      <c r="P848" s="37"/>
      <c r="Q848" s="37">
        <v>284108.43</v>
      </c>
      <c r="R848" s="29">
        <f t="shared" si="64"/>
        <v>705.9822329349204</v>
      </c>
      <c r="S848" s="29">
        <v>14736.15</v>
      </c>
      <c r="T848" s="24" t="s">
        <v>1359</v>
      </c>
      <c r="U848" s="118">
        <v>6.3</v>
      </c>
      <c r="V848" s="296">
        <v>2020</v>
      </c>
    </row>
    <row r="849" spans="1:22" ht="45">
      <c r="A849" s="70">
        <v>81</v>
      </c>
      <c r="B849" s="82" t="s">
        <v>611</v>
      </c>
      <c r="C849" s="62">
        <v>1966</v>
      </c>
      <c r="D849" s="62">
        <v>2011</v>
      </c>
      <c r="E849" s="76" t="s">
        <v>374</v>
      </c>
      <c r="F849" s="62">
        <v>2</v>
      </c>
      <c r="G849" s="62">
        <v>1</v>
      </c>
      <c r="H849" s="63">
        <v>302.95</v>
      </c>
      <c r="I849" s="37">
        <v>272.15</v>
      </c>
      <c r="J849" s="37">
        <v>266.46</v>
      </c>
      <c r="K849" s="36">
        <v>19</v>
      </c>
      <c r="L849" s="24" t="s">
        <v>489</v>
      </c>
      <c r="M849" s="37">
        <v>689225.95</v>
      </c>
      <c r="N849" s="37"/>
      <c r="O849" s="37"/>
      <c r="P849" s="37"/>
      <c r="Q849" s="37">
        <v>689225.95</v>
      </c>
      <c r="R849" s="29">
        <f t="shared" si="64"/>
        <v>2532.52232224876</v>
      </c>
      <c r="S849" s="29">
        <v>14736.15</v>
      </c>
      <c r="T849" s="24" t="s">
        <v>1359</v>
      </c>
      <c r="U849" s="118">
        <v>6.3</v>
      </c>
      <c r="V849" s="296">
        <v>2020</v>
      </c>
    </row>
    <row r="850" spans="1:22" ht="45">
      <c r="A850" s="70">
        <v>82</v>
      </c>
      <c r="B850" s="82" t="s">
        <v>612</v>
      </c>
      <c r="C850" s="62">
        <v>1976</v>
      </c>
      <c r="D850" s="62"/>
      <c r="E850" s="62" t="s">
        <v>374</v>
      </c>
      <c r="F850" s="62">
        <v>2</v>
      </c>
      <c r="G850" s="62">
        <v>3</v>
      </c>
      <c r="H850" s="63">
        <v>816.11</v>
      </c>
      <c r="I850" s="37">
        <v>730.17</v>
      </c>
      <c r="J850" s="37">
        <v>639.03</v>
      </c>
      <c r="K850" s="36">
        <v>41</v>
      </c>
      <c r="L850" s="24" t="s">
        <v>720</v>
      </c>
      <c r="M850" s="37">
        <v>1673223.05</v>
      </c>
      <c r="N850" s="37"/>
      <c r="O850" s="37"/>
      <c r="P850" s="37"/>
      <c r="Q850" s="37">
        <v>1673223.05</v>
      </c>
      <c r="R850" s="29">
        <f t="shared" si="64"/>
        <v>2291.5527205993126</v>
      </c>
      <c r="S850" s="29">
        <v>14736.15</v>
      </c>
      <c r="T850" s="24" t="s">
        <v>1359</v>
      </c>
      <c r="U850" s="118">
        <v>6.3</v>
      </c>
      <c r="V850" s="296">
        <v>2020</v>
      </c>
    </row>
    <row r="851" spans="1:22" ht="15">
      <c r="A851" s="70"/>
      <c r="B851" s="112" t="s">
        <v>132</v>
      </c>
      <c r="C851" s="62"/>
      <c r="D851" s="82"/>
      <c r="E851" s="62"/>
      <c r="F851" s="62"/>
      <c r="G851" s="62"/>
      <c r="H851" s="116">
        <f>SUM(H846:H850)</f>
        <v>2695.98</v>
      </c>
      <c r="I851" s="116">
        <f>SUM(I846:I850)</f>
        <v>2422.28</v>
      </c>
      <c r="J851" s="116">
        <f>SUM(J846:J850)</f>
        <v>1972.65</v>
      </c>
      <c r="K851" s="167">
        <f>SUM(K846:K850)</f>
        <v>145</v>
      </c>
      <c r="L851" s="116"/>
      <c r="M851" s="116">
        <f>SUM(M846:M850)</f>
        <v>4389888.42</v>
      </c>
      <c r="N851" s="116"/>
      <c r="O851" s="116"/>
      <c r="P851" s="116"/>
      <c r="Q851" s="116">
        <f>SUM(Q846:Q850)</f>
        <v>4389888.42</v>
      </c>
      <c r="R851" s="81">
        <f t="shared" si="64"/>
        <v>1812.2960268837621</v>
      </c>
      <c r="S851" s="37"/>
      <c r="T851" s="24"/>
      <c r="U851" s="118"/>
      <c r="V851" s="296"/>
    </row>
    <row r="852" spans="1:22" ht="15">
      <c r="A852" s="300" t="s">
        <v>495</v>
      </c>
      <c r="B852" s="301"/>
      <c r="C852" s="301"/>
      <c r="D852" s="301"/>
      <c r="E852" s="301"/>
      <c r="F852" s="301"/>
      <c r="G852" s="301"/>
      <c r="H852" s="301"/>
      <c r="I852" s="301"/>
      <c r="J852" s="301"/>
      <c r="K852" s="301"/>
      <c r="L852" s="301"/>
      <c r="M852" s="301"/>
      <c r="N852" s="301"/>
      <c r="O852" s="301"/>
      <c r="P852" s="301"/>
      <c r="Q852" s="302"/>
      <c r="R852" s="301"/>
      <c r="S852" s="301"/>
      <c r="T852" s="301"/>
      <c r="U852" s="303"/>
      <c r="V852" s="296"/>
    </row>
    <row r="853" spans="1:22" ht="45">
      <c r="A853" s="70">
        <v>83</v>
      </c>
      <c r="B853" s="82" t="s">
        <v>1011</v>
      </c>
      <c r="C853" s="62">
        <v>1991</v>
      </c>
      <c r="D853" s="62">
        <v>2016</v>
      </c>
      <c r="E853" s="62" t="s">
        <v>374</v>
      </c>
      <c r="F853" s="62">
        <v>2</v>
      </c>
      <c r="G853" s="62">
        <v>3</v>
      </c>
      <c r="H853" s="63">
        <v>968.7</v>
      </c>
      <c r="I853" s="37">
        <v>872.4</v>
      </c>
      <c r="J853" s="37">
        <v>872.4</v>
      </c>
      <c r="K853" s="36">
        <v>57</v>
      </c>
      <c r="L853" s="24" t="s">
        <v>112</v>
      </c>
      <c r="M853" s="37">
        <v>3694006.73</v>
      </c>
      <c r="N853" s="37"/>
      <c r="O853" s="37"/>
      <c r="P853" s="37"/>
      <c r="Q853" s="37">
        <v>3694006.73</v>
      </c>
      <c r="R853" s="37">
        <v>2517.6</v>
      </c>
      <c r="S853" s="29">
        <v>14736.15</v>
      </c>
      <c r="T853" s="24" t="s">
        <v>1359</v>
      </c>
      <c r="U853" s="118">
        <v>6.3</v>
      </c>
      <c r="V853" s="296">
        <v>2020</v>
      </c>
    </row>
    <row r="854" spans="1:22" ht="15">
      <c r="A854" s="70"/>
      <c r="B854" s="112" t="s">
        <v>1554</v>
      </c>
      <c r="C854" s="24"/>
      <c r="D854" s="24"/>
      <c r="E854" s="24"/>
      <c r="F854" s="24"/>
      <c r="G854" s="24"/>
      <c r="H854" s="81">
        <f>SUM(H853:H853)</f>
        <v>968.7</v>
      </c>
      <c r="I854" s="81">
        <f>SUM(I853:I853)</f>
        <v>872.4</v>
      </c>
      <c r="J854" s="81">
        <f>SUM(J853:J853)</f>
        <v>872.4</v>
      </c>
      <c r="K854" s="98">
        <f>SUM(K853:K853)</f>
        <v>57</v>
      </c>
      <c r="L854" s="24"/>
      <c r="M854" s="81">
        <f>SUM(M853:M853)</f>
        <v>3694006.73</v>
      </c>
      <c r="N854" s="81"/>
      <c r="O854" s="81"/>
      <c r="P854" s="81"/>
      <c r="Q854" s="81">
        <f>SUM(Q853:Q853)</f>
        <v>3694006.73</v>
      </c>
      <c r="R854" s="96">
        <f>M854/I854</f>
        <v>4234.303908757451</v>
      </c>
      <c r="S854" s="117"/>
      <c r="T854" s="107"/>
      <c r="U854" s="175"/>
      <c r="V854" s="296"/>
    </row>
    <row r="855" spans="1:22" ht="15">
      <c r="A855" s="300" t="s">
        <v>1364</v>
      </c>
      <c r="B855" s="301"/>
      <c r="C855" s="301"/>
      <c r="D855" s="301"/>
      <c r="E855" s="301"/>
      <c r="F855" s="301"/>
      <c r="G855" s="301"/>
      <c r="H855" s="301"/>
      <c r="I855" s="301"/>
      <c r="J855" s="301"/>
      <c r="K855" s="301"/>
      <c r="L855" s="301"/>
      <c r="M855" s="301"/>
      <c r="N855" s="301"/>
      <c r="O855" s="301"/>
      <c r="P855" s="301"/>
      <c r="Q855" s="302"/>
      <c r="R855" s="301"/>
      <c r="S855" s="301"/>
      <c r="T855" s="301"/>
      <c r="U855" s="303"/>
      <c r="V855" s="296"/>
    </row>
    <row r="856" spans="1:22" ht="45">
      <c r="A856" s="70">
        <v>84</v>
      </c>
      <c r="B856" s="82" t="s">
        <v>776</v>
      </c>
      <c r="C856" s="24">
        <v>1975</v>
      </c>
      <c r="D856" s="24">
        <v>2012</v>
      </c>
      <c r="E856" s="24" t="s">
        <v>374</v>
      </c>
      <c r="F856" s="24">
        <v>2</v>
      </c>
      <c r="G856" s="24">
        <v>2</v>
      </c>
      <c r="H856" s="37">
        <v>1284.4</v>
      </c>
      <c r="I856" s="37">
        <v>445.6</v>
      </c>
      <c r="J856" s="37">
        <v>445.6</v>
      </c>
      <c r="K856" s="36">
        <v>35</v>
      </c>
      <c r="L856" s="24" t="s">
        <v>489</v>
      </c>
      <c r="M856" s="37">
        <v>1408516.19</v>
      </c>
      <c r="N856" s="37"/>
      <c r="O856" s="37"/>
      <c r="P856" s="37"/>
      <c r="Q856" s="37">
        <v>1408516.19</v>
      </c>
      <c r="R856" s="29">
        <f>M856/I856</f>
        <v>3160.942975763016</v>
      </c>
      <c r="S856" s="29">
        <v>14736.15</v>
      </c>
      <c r="T856" s="24" t="s">
        <v>1359</v>
      </c>
      <c r="U856" s="118">
        <v>6.3</v>
      </c>
      <c r="V856" s="296">
        <v>2020</v>
      </c>
    </row>
    <row r="857" spans="1:22" ht="15">
      <c r="A857" s="70"/>
      <c r="B857" s="102" t="s">
        <v>1436</v>
      </c>
      <c r="C857" s="79" t="s">
        <v>379</v>
      </c>
      <c r="D857" s="79" t="s">
        <v>379</v>
      </c>
      <c r="E857" s="79" t="s">
        <v>379</v>
      </c>
      <c r="F857" s="79" t="s">
        <v>379</v>
      </c>
      <c r="G857" s="79" t="s">
        <v>379</v>
      </c>
      <c r="H857" s="81">
        <v>1284.4</v>
      </c>
      <c r="I857" s="81">
        <f>SUM(I856:I856)</f>
        <v>445.6</v>
      </c>
      <c r="J857" s="81">
        <f>SUM(J856:J856)</f>
        <v>445.6</v>
      </c>
      <c r="K857" s="98">
        <f>SUM(K856:K856)</f>
        <v>35</v>
      </c>
      <c r="L857" s="79"/>
      <c r="M857" s="81">
        <f>SUM(M856:M856)</f>
        <v>1408516.19</v>
      </c>
      <c r="N857" s="81"/>
      <c r="O857" s="81"/>
      <c r="P857" s="81"/>
      <c r="Q857" s="81">
        <f>SUM(Q856:Q856)</f>
        <v>1408516.19</v>
      </c>
      <c r="R857" s="96">
        <f>M857/I857</f>
        <v>3160.942975763016</v>
      </c>
      <c r="S857" s="29"/>
      <c r="T857" s="76"/>
      <c r="U857" s="175"/>
      <c r="V857" s="296"/>
    </row>
    <row r="858" spans="1:22" ht="16.5" customHeight="1">
      <c r="A858" s="304" t="s">
        <v>1369</v>
      </c>
      <c r="B858" s="301"/>
      <c r="C858" s="301"/>
      <c r="D858" s="301"/>
      <c r="E858" s="301"/>
      <c r="F858" s="301"/>
      <c r="G858" s="301"/>
      <c r="H858" s="301"/>
      <c r="I858" s="301"/>
      <c r="J858" s="301"/>
      <c r="K858" s="301"/>
      <c r="L858" s="301"/>
      <c r="M858" s="301"/>
      <c r="N858" s="301"/>
      <c r="O858" s="301"/>
      <c r="P858" s="301"/>
      <c r="Q858" s="302"/>
      <c r="R858" s="301"/>
      <c r="S858" s="301"/>
      <c r="T858" s="301"/>
      <c r="U858" s="303"/>
      <c r="V858" s="296"/>
    </row>
    <row r="859" spans="1:22" ht="75">
      <c r="A859" s="70">
        <v>85</v>
      </c>
      <c r="B859" s="82" t="s">
        <v>735</v>
      </c>
      <c r="C859" s="24">
        <v>1975</v>
      </c>
      <c r="D859" s="24"/>
      <c r="E859" s="24" t="s">
        <v>374</v>
      </c>
      <c r="F859" s="24">
        <v>5</v>
      </c>
      <c r="G859" s="24">
        <v>6</v>
      </c>
      <c r="H859" s="37">
        <v>4589.43</v>
      </c>
      <c r="I859" s="37">
        <v>4589.43</v>
      </c>
      <c r="J859" s="37">
        <v>4082.19</v>
      </c>
      <c r="K859" s="36">
        <v>172</v>
      </c>
      <c r="L859" s="24" t="s">
        <v>1589</v>
      </c>
      <c r="M859" s="37">
        <v>5526789.37</v>
      </c>
      <c r="N859" s="37"/>
      <c r="O859" s="37"/>
      <c r="P859" s="37"/>
      <c r="Q859" s="37">
        <v>5526789.37</v>
      </c>
      <c r="R859" s="37">
        <f>M859/I859</f>
        <v>1204.2430911899735</v>
      </c>
      <c r="S859" s="29">
        <v>14736.15</v>
      </c>
      <c r="T859" s="37" t="s">
        <v>1359</v>
      </c>
      <c r="U859" s="118">
        <v>6.3</v>
      </c>
      <c r="V859" s="296">
        <v>2020</v>
      </c>
    </row>
    <row r="860" spans="1:22" ht="60">
      <c r="A860" s="70">
        <v>86</v>
      </c>
      <c r="B860" s="34" t="s">
        <v>1102</v>
      </c>
      <c r="C860" s="24">
        <v>1976</v>
      </c>
      <c r="D860" s="24"/>
      <c r="E860" s="24" t="s">
        <v>494</v>
      </c>
      <c r="F860" s="24">
        <v>5</v>
      </c>
      <c r="G860" s="24">
        <v>4</v>
      </c>
      <c r="H860" s="37">
        <v>3135.35</v>
      </c>
      <c r="I860" s="37">
        <v>3135.35</v>
      </c>
      <c r="J860" s="37">
        <v>3011.03</v>
      </c>
      <c r="K860" s="36">
        <v>93</v>
      </c>
      <c r="L860" s="24" t="s">
        <v>1576</v>
      </c>
      <c r="M860" s="37">
        <v>4782584.64</v>
      </c>
      <c r="N860" s="37"/>
      <c r="O860" s="37"/>
      <c r="P860" s="37"/>
      <c r="Q860" s="37">
        <v>4782584.64</v>
      </c>
      <c r="R860" s="37">
        <f>M860/I860</f>
        <v>1525.3750426587142</v>
      </c>
      <c r="S860" s="29">
        <v>14736.15</v>
      </c>
      <c r="T860" s="37" t="s">
        <v>1359</v>
      </c>
      <c r="U860" s="118">
        <v>6.3</v>
      </c>
      <c r="V860" s="296">
        <v>2020</v>
      </c>
    </row>
    <row r="861" spans="1:22" ht="45">
      <c r="A861" s="70">
        <v>87</v>
      </c>
      <c r="B861" s="107" t="s">
        <v>250</v>
      </c>
      <c r="C861" s="67">
        <v>1960</v>
      </c>
      <c r="D861" s="67"/>
      <c r="E861" s="37" t="s">
        <v>374</v>
      </c>
      <c r="F861" s="36">
        <v>4</v>
      </c>
      <c r="G861" s="36">
        <v>2</v>
      </c>
      <c r="H861" s="37">
        <v>1288.7</v>
      </c>
      <c r="I861" s="37">
        <v>1288.7</v>
      </c>
      <c r="J861" s="37">
        <v>1215.6</v>
      </c>
      <c r="K861" s="36">
        <v>33</v>
      </c>
      <c r="L861" s="37" t="s">
        <v>497</v>
      </c>
      <c r="M861" s="37">
        <v>1881328.55</v>
      </c>
      <c r="N861" s="37"/>
      <c r="O861" s="37"/>
      <c r="P861" s="37"/>
      <c r="Q861" s="37">
        <v>1881328.55</v>
      </c>
      <c r="R861" s="37">
        <f aca="true" t="shared" si="65" ref="R861:R867">M861/I861</f>
        <v>1459.8654069993015</v>
      </c>
      <c r="S861" s="29">
        <v>14736.15</v>
      </c>
      <c r="T861" s="37" t="s">
        <v>1359</v>
      </c>
      <c r="U861" s="118">
        <v>6.3</v>
      </c>
      <c r="V861" s="296">
        <v>2020</v>
      </c>
    </row>
    <row r="862" spans="1:22" ht="45">
      <c r="A862" s="70">
        <v>88</v>
      </c>
      <c r="B862" s="107" t="s">
        <v>1660</v>
      </c>
      <c r="C862" s="67">
        <v>1961</v>
      </c>
      <c r="D862" s="67"/>
      <c r="E862" s="37" t="s">
        <v>374</v>
      </c>
      <c r="F862" s="36">
        <v>3</v>
      </c>
      <c r="G862" s="36">
        <v>3</v>
      </c>
      <c r="H862" s="37">
        <v>1396.68</v>
      </c>
      <c r="I862" s="37">
        <v>1396.68</v>
      </c>
      <c r="J862" s="37">
        <v>1396.68</v>
      </c>
      <c r="K862" s="36">
        <v>44</v>
      </c>
      <c r="L862" s="37" t="s">
        <v>1664</v>
      </c>
      <c r="M862" s="37">
        <v>2464118.45</v>
      </c>
      <c r="N862" s="37"/>
      <c r="O862" s="37"/>
      <c r="P862" s="37"/>
      <c r="Q862" s="37">
        <v>2464118.45</v>
      </c>
      <c r="R862" s="37">
        <f t="shared" si="65"/>
        <v>1764.2684437380074</v>
      </c>
      <c r="S862" s="29">
        <v>14736.15</v>
      </c>
      <c r="T862" s="37" t="s">
        <v>1359</v>
      </c>
      <c r="U862" s="118">
        <v>6.3</v>
      </c>
      <c r="V862" s="296">
        <v>2020</v>
      </c>
    </row>
    <row r="863" spans="1:22" ht="45">
      <c r="A863" s="70">
        <v>89</v>
      </c>
      <c r="B863" s="107" t="s">
        <v>251</v>
      </c>
      <c r="C863" s="67">
        <v>1963</v>
      </c>
      <c r="D863" s="67"/>
      <c r="E863" s="37" t="s">
        <v>374</v>
      </c>
      <c r="F863" s="36">
        <v>2</v>
      </c>
      <c r="G863" s="36">
        <v>2</v>
      </c>
      <c r="H863" s="37">
        <v>639.84</v>
      </c>
      <c r="I863" s="37">
        <v>639.84</v>
      </c>
      <c r="J863" s="37">
        <v>471.22</v>
      </c>
      <c r="K863" s="36">
        <v>29</v>
      </c>
      <c r="L863" s="37" t="s">
        <v>1664</v>
      </c>
      <c r="M863" s="37">
        <v>1653910.4</v>
      </c>
      <c r="N863" s="37"/>
      <c r="O863" s="37"/>
      <c r="P863" s="37"/>
      <c r="Q863" s="37">
        <v>1653910.4</v>
      </c>
      <c r="R863" s="37">
        <f t="shared" si="65"/>
        <v>2584.881220305076</v>
      </c>
      <c r="S863" s="29">
        <v>14736.15</v>
      </c>
      <c r="T863" s="37" t="s">
        <v>1359</v>
      </c>
      <c r="U863" s="118">
        <v>6.3</v>
      </c>
      <c r="V863" s="296">
        <v>2020</v>
      </c>
    </row>
    <row r="864" spans="1:22" ht="45">
      <c r="A864" s="70">
        <v>90</v>
      </c>
      <c r="B864" s="107" t="s">
        <v>252</v>
      </c>
      <c r="C864" s="67">
        <v>1997</v>
      </c>
      <c r="D864" s="67"/>
      <c r="E864" s="37" t="s">
        <v>374</v>
      </c>
      <c r="F864" s="36">
        <v>5</v>
      </c>
      <c r="G864" s="36">
        <v>9</v>
      </c>
      <c r="H864" s="37">
        <v>5604.09</v>
      </c>
      <c r="I864" s="37">
        <v>5604.09</v>
      </c>
      <c r="J864" s="37" t="s">
        <v>1663</v>
      </c>
      <c r="K864" s="36">
        <v>260</v>
      </c>
      <c r="L864" s="37" t="s">
        <v>1664</v>
      </c>
      <c r="M864" s="37">
        <v>2475460</v>
      </c>
      <c r="N864" s="37"/>
      <c r="O864" s="37"/>
      <c r="P864" s="37"/>
      <c r="Q864" s="37">
        <v>2475460</v>
      </c>
      <c r="R864" s="37">
        <f t="shared" si="65"/>
        <v>441.72381242985034</v>
      </c>
      <c r="S864" s="29">
        <v>14736.15</v>
      </c>
      <c r="T864" s="37" t="s">
        <v>1359</v>
      </c>
      <c r="U864" s="118">
        <v>6.3</v>
      </c>
      <c r="V864" s="296">
        <v>2020</v>
      </c>
    </row>
    <row r="865" spans="1:22" ht="45">
      <c r="A865" s="70">
        <v>91</v>
      </c>
      <c r="B865" s="107" t="s">
        <v>1661</v>
      </c>
      <c r="C865" s="67">
        <v>1981</v>
      </c>
      <c r="D865" s="67"/>
      <c r="E865" s="37" t="s">
        <v>374</v>
      </c>
      <c r="F865" s="36">
        <v>2</v>
      </c>
      <c r="G865" s="36">
        <v>3</v>
      </c>
      <c r="H865" s="37">
        <v>870.9</v>
      </c>
      <c r="I865" s="37">
        <v>870.9</v>
      </c>
      <c r="J865" s="37">
        <v>870.9</v>
      </c>
      <c r="K865" s="36">
        <v>18</v>
      </c>
      <c r="L865" s="37" t="s">
        <v>1664</v>
      </c>
      <c r="M865" s="37">
        <v>2544736.57</v>
      </c>
      <c r="N865" s="37"/>
      <c r="O865" s="37"/>
      <c r="P865" s="37"/>
      <c r="Q865" s="37">
        <v>2544736.57</v>
      </c>
      <c r="R865" s="37">
        <f t="shared" si="65"/>
        <v>2921.9618440693534</v>
      </c>
      <c r="S865" s="29">
        <v>14736.15</v>
      </c>
      <c r="T865" s="37" t="s">
        <v>1359</v>
      </c>
      <c r="U865" s="118">
        <v>6.3</v>
      </c>
      <c r="V865" s="296">
        <v>2020</v>
      </c>
    </row>
    <row r="866" spans="1:22" ht="45">
      <c r="A866" s="70">
        <v>92</v>
      </c>
      <c r="B866" s="107" t="s">
        <v>1662</v>
      </c>
      <c r="C866" s="67">
        <v>1979</v>
      </c>
      <c r="D866" s="67"/>
      <c r="E866" s="37" t="s">
        <v>374</v>
      </c>
      <c r="F866" s="36">
        <v>2</v>
      </c>
      <c r="G866" s="36">
        <v>3</v>
      </c>
      <c r="H866" s="37">
        <v>831.86</v>
      </c>
      <c r="I866" s="37">
        <v>831.86</v>
      </c>
      <c r="J866" s="37">
        <v>710.36</v>
      </c>
      <c r="K866" s="36">
        <v>19</v>
      </c>
      <c r="L866" s="37" t="s">
        <v>525</v>
      </c>
      <c r="M866" s="37">
        <v>2491629.03</v>
      </c>
      <c r="N866" s="37"/>
      <c r="O866" s="37"/>
      <c r="P866" s="37"/>
      <c r="Q866" s="37">
        <v>2491629.03</v>
      </c>
      <c r="R866" s="37">
        <f t="shared" si="65"/>
        <v>2995.2504387757554</v>
      </c>
      <c r="S866" s="29">
        <v>14736.15</v>
      </c>
      <c r="T866" s="37" t="s">
        <v>1359</v>
      </c>
      <c r="U866" s="118">
        <v>6.3</v>
      </c>
      <c r="V866" s="296">
        <v>2020</v>
      </c>
    </row>
    <row r="867" spans="1:22" ht="105">
      <c r="A867" s="70">
        <v>93</v>
      </c>
      <c r="B867" s="107" t="s">
        <v>253</v>
      </c>
      <c r="C867" s="67">
        <v>1982</v>
      </c>
      <c r="D867" s="67"/>
      <c r="E867" s="37" t="s">
        <v>494</v>
      </c>
      <c r="F867" s="36">
        <v>5</v>
      </c>
      <c r="G867" s="36">
        <v>6</v>
      </c>
      <c r="H867" s="37">
        <v>4121.69</v>
      </c>
      <c r="I867" s="37">
        <v>4121.69</v>
      </c>
      <c r="J867" s="37">
        <v>4074.43</v>
      </c>
      <c r="K867" s="36">
        <v>172</v>
      </c>
      <c r="L867" s="37" t="s">
        <v>1555</v>
      </c>
      <c r="M867" s="37">
        <v>5151060.69</v>
      </c>
      <c r="N867" s="37"/>
      <c r="O867" s="37"/>
      <c r="P867" s="37"/>
      <c r="Q867" s="37">
        <v>5151060.69</v>
      </c>
      <c r="R867" s="37">
        <f t="shared" si="65"/>
        <v>1249.7448109877262</v>
      </c>
      <c r="S867" s="29">
        <v>14736.15</v>
      </c>
      <c r="T867" s="37" t="s">
        <v>1359</v>
      </c>
      <c r="U867" s="118">
        <v>6.3</v>
      </c>
      <c r="V867" s="296">
        <v>2020</v>
      </c>
    </row>
    <row r="868" spans="1:22" ht="15">
      <c r="A868" s="70"/>
      <c r="B868" s="112" t="s">
        <v>867</v>
      </c>
      <c r="C868" s="24"/>
      <c r="D868" s="24"/>
      <c r="E868" s="24"/>
      <c r="F868" s="24"/>
      <c r="G868" s="24"/>
      <c r="H868" s="81">
        <f>SUM(H859:H867)</f>
        <v>22478.540000000005</v>
      </c>
      <c r="I868" s="81">
        <f>SUM(I859:I867)</f>
        <v>22478.540000000005</v>
      </c>
      <c r="J868" s="81">
        <f>SUM(J859:J867)</f>
        <v>15832.41</v>
      </c>
      <c r="K868" s="98">
        <f>SUM(K859:K867)</f>
        <v>840</v>
      </c>
      <c r="L868" s="98"/>
      <c r="M868" s="81">
        <f>SUM(M859:M867)</f>
        <v>28971617.700000007</v>
      </c>
      <c r="N868" s="81"/>
      <c r="O868" s="81"/>
      <c r="P868" s="81"/>
      <c r="Q868" s="81">
        <f>SUM(Q859:Q867)</f>
        <v>28971617.700000007</v>
      </c>
      <c r="R868" s="81">
        <f>M868/I868</f>
        <v>1288.8567362471051</v>
      </c>
      <c r="S868" s="37"/>
      <c r="T868" s="76"/>
      <c r="U868" s="175"/>
      <c r="V868" s="296"/>
    </row>
    <row r="869" spans="1:22" ht="15">
      <c r="A869" s="304" t="s">
        <v>1370</v>
      </c>
      <c r="B869" s="301"/>
      <c r="C869" s="301"/>
      <c r="D869" s="301"/>
      <c r="E869" s="301"/>
      <c r="F869" s="301"/>
      <c r="G869" s="301"/>
      <c r="H869" s="301"/>
      <c r="I869" s="301"/>
      <c r="J869" s="301"/>
      <c r="K869" s="301"/>
      <c r="L869" s="301"/>
      <c r="M869" s="301"/>
      <c r="N869" s="301"/>
      <c r="O869" s="301"/>
      <c r="P869" s="301"/>
      <c r="Q869" s="302"/>
      <c r="R869" s="301"/>
      <c r="S869" s="301"/>
      <c r="T869" s="301"/>
      <c r="U869" s="303"/>
      <c r="V869" s="296"/>
    </row>
    <row r="870" spans="1:22" ht="45">
      <c r="A870" s="70">
        <v>94</v>
      </c>
      <c r="B870" s="34" t="s">
        <v>355</v>
      </c>
      <c r="C870" s="24">
        <v>1969</v>
      </c>
      <c r="D870" s="24"/>
      <c r="E870" s="24" t="s">
        <v>374</v>
      </c>
      <c r="F870" s="24">
        <v>5</v>
      </c>
      <c r="G870" s="24">
        <v>4</v>
      </c>
      <c r="H870" s="37">
        <v>3335.4</v>
      </c>
      <c r="I870" s="37">
        <v>3335.4</v>
      </c>
      <c r="J870" s="37">
        <v>2973.21</v>
      </c>
      <c r="K870" s="36">
        <v>146</v>
      </c>
      <c r="L870" s="24" t="s">
        <v>489</v>
      </c>
      <c r="M870" s="37">
        <v>3882708.21</v>
      </c>
      <c r="N870" s="37"/>
      <c r="O870" s="37"/>
      <c r="P870" s="37"/>
      <c r="Q870" s="37">
        <v>3882708.21</v>
      </c>
      <c r="R870" s="37">
        <f>M870/I870</f>
        <v>1164.0907267494154</v>
      </c>
      <c r="S870" s="29">
        <v>14736.15</v>
      </c>
      <c r="T870" s="37" t="s">
        <v>1359</v>
      </c>
      <c r="U870" s="118">
        <v>6.3</v>
      </c>
      <c r="V870" s="296">
        <v>2020</v>
      </c>
    </row>
    <row r="871" spans="1:22" ht="45">
      <c r="A871" s="70">
        <v>95</v>
      </c>
      <c r="B871" s="34" t="s">
        <v>1103</v>
      </c>
      <c r="C871" s="24">
        <v>1964</v>
      </c>
      <c r="D871" s="24"/>
      <c r="E871" s="24" t="s">
        <v>374</v>
      </c>
      <c r="F871" s="24">
        <v>4</v>
      </c>
      <c r="G871" s="24">
        <v>2</v>
      </c>
      <c r="H871" s="37">
        <v>1274.78</v>
      </c>
      <c r="I871" s="37">
        <v>1274.78</v>
      </c>
      <c r="J871" s="37">
        <v>1082.6</v>
      </c>
      <c r="K871" s="36">
        <v>65</v>
      </c>
      <c r="L871" s="24" t="s">
        <v>489</v>
      </c>
      <c r="M871" s="37">
        <v>2074011.14</v>
      </c>
      <c r="N871" s="37"/>
      <c r="O871" s="37"/>
      <c r="P871" s="37"/>
      <c r="Q871" s="37">
        <v>2074011.14</v>
      </c>
      <c r="R871" s="37">
        <f aca="true" t="shared" si="66" ref="R871:R904">M871/I871</f>
        <v>1626.9561336073675</v>
      </c>
      <c r="S871" s="29">
        <v>14736.15</v>
      </c>
      <c r="T871" s="37" t="s">
        <v>1359</v>
      </c>
      <c r="U871" s="118">
        <v>6.3</v>
      </c>
      <c r="V871" s="296">
        <v>2020</v>
      </c>
    </row>
    <row r="872" spans="1:22" ht="45">
      <c r="A872" s="70">
        <v>96</v>
      </c>
      <c r="B872" s="34" t="s">
        <v>1104</v>
      </c>
      <c r="C872" s="24">
        <v>1963</v>
      </c>
      <c r="D872" s="24"/>
      <c r="E872" s="24" t="s">
        <v>374</v>
      </c>
      <c r="F872" s="24">
        <v>4</v>
      </c>
      <c r="G872" s="24">
        <v>6</v>
      </c>
      <c r="H872" s="37">
        <v>4314.08</v>
      </c>
      <c r="I872" s="37">
        <v>4314.08</v>
      </c>
      <c r="J872" s="37">
        <v>3296.38</v>
      </c>
      <c r="K872" s="36">
        <v>150</v>
      </c>
      <c r="L872" s="24" t="s">
        <v>489</v>
      </c>
      <c r="M872" s="37">
        <v>5695135.91</v>
      </c>
      <c r="N872" s="37"/>
      <c r="O872" s="37"/>
      <c r="P872" s="37"/>
      <c r="Q872" s="37">
        <v>5695135.91</v>
      </c>
      <c r="R872" s="37">
        <f t="shared" si="66"/>
        <v>1320.1275613804103</v>
      </c>
      <c r="S872" s="29">
        <v>14736.15</v>
      </c>
      <c r="T872" s="37" t="s">
        <v>1359</v>
      </c>
      <c r="U872" s="118">
        <v>6.3</v>
      </c>
      <c r="V872" s="296">
        <v>2020</v>
      </c>
    </row>
    <row r="873" spans="1:22" ht="45">
      <c r="A873" s="70">
        <v>97</v>
      </c>
      <c r="B873" s="34" t="s">
        <v>1105</v>
      </c>
      <c r="C873" s="24">
        <v>1964</v>
      </c>
      <c r="D873" s="24"/>
      <c r="E873" s="24" t="s">
        <v>374</v>
      </c>
      <c r="F873" s="24">
        <v>4</v>
      </c>
      <c r="G873" s="24">
        <v>2</v>
      </c>
      <c r="H873" s="37">
        <v>1266.01</v>
      </c>
      <c r="I873" s="37">
        <v>1266.01</v>
      </c>
      <c r="J873" s="37">
        <v>1106.79</v>
      </c>
      <c r="K873" s="36">
        <v>63</v>
      </c>
      <c r="L873" s="24" t="s">
        <v>489</v>
      </c>
      <c r="M873" s="37">
        <v>1875166.6</v>
      </c>
      <c r="N873" s="37"/>
      <c r="O873" s="37"/>
      <c r="P873" s="37"/>
      <c r="Q873" s="37">
        <v>1875166.6</v>
      </c>
      <c r="R873" s="37">
        <f t="shared" si="66"/>
        <v>1481.1625500588464</v>
      </c>
      <c r="S873" s="29">
        <v>14736.15</v>
      </c>
      <c r="T873" s="37" t="s">
        <v>1359</v>
      </c>
      <c r="U873" s="118">
        <v>6.3</v>
      </c>
      <c r="V873" s="296">
        <v>2020</v>
      </c>
    </row>
    <row r="874" spans="1:22" ht="45">
      <c r="A874" s="70">
        <v>98</v>
      </c>
      <c r="B874" s="82" t="s">
        <v>1106</v>
      </c>
      <c r="C874" s="24">
        <v>1966</v>
      </c>
      <c r="D874" s="24"/>
      <c r="E874" s="24" t="s">
        <v>374</v>
      </c>
      <c r="F874" s="24">
        <v>5</v>
      </c>
      <c r="G874" s="24">
        <v>3</v>
      </c>
      <c r="H874" s="37">
        <v>2454.74</v>
      </c>
      <c r="I874" s="37">
        <v>2454.74</v>
      </c>
      <c r="J874" s="37">
        <v>2454.74</v>
      </c>
      <c r="K874" s="36">
        <v>96</v>
      </c>
      <c r="L874" s="24" t="s">
        <v>489</v>
      </c>
      <c r="M874" s="37">
        <v>2850673.15</v>
      </c>
      <c r="N874" s="37"/>
      <c r="O874" s="37"/>
      <c r="P874" s="37"/>
      <c r="Q874" s="37">
        <v>2850673.15</v>
      </c>
      <c r="R874" s="37">
        <f t="shared" si="66"/>
        <v>1161.2933141595445</v>
      </c>
      <c r="S874" s="29">
        <v>14736.15</v>
      </c>
      <c r="T874" s="37" t="s">
        <v>1359</v>
      </c>
      <c r="U874" s="118">
        <v>6.3</v>
      </c>
      <c r="V874" s="296">
        <v>2020</v>
      </c>
    </row>
    <row r="875" spans="1:22" ht="45">
      <c r="A875" s="70">
        <v>99</v>
      </c>
      <c r="B875" s="34" t="s">
        <v>1107</v>
      </c>
      <c r="C875" s="24">
        <v>1967</v>
      </c>
      <c r="D875" s="24"/>
      <c r="E875" s="24" t="s">
        <v>374</v>
      </c>
      <c r="F875" s="24">
        <v>5</v>
      </c>
      <c r="G875" s="24">
        <v>4</v>
      </c>
      <c r="H875" s="37">
        <v>3138.97</v>
      </c>
      <c r="I875" s="37">
        <v>3138.97</v>
      </c>
      <c r="J875" s="37">
        <v>3053.54</v>
      </c>
      <c r="K875" s="36">
        <v>120</v>
      </c>
      <c r="L875" s="24" t="s">
        <v>489</v>
      </c>
      <c r="M875" s="37">
        <v>3818510</v>
      </c>
      <c r="N875" s="37"/>
      <c r="O875" s="37"/>
      <c r="P875" s="37"/>
      <c r="Q875" s="37">
        <v>3818510</v>
      </c>
      <c r="R875" s="37">
        <f t="shared" si="66"/>
        <v>1216.485025342708</v>
      </c>
      <c r="S875" s="29">
        <v>14736.15</v>
      </c>
      <c r="T875" s="37" t="s">
        <v>1359</v>
      </c>
      <c r="U875" s="118">
        <v>6.3</v>
      </c>
      <c r="V875" s="296">
        <v>2020</v>
      </c>
    </row>
    <row r="876" spans="1:22" ht="45">
      <c r="A876" s="70">
        <v>100</v>
      </c>
      <c r="B876" s="34" t="s">
        <v>1108</v>
      </c>
      <c r="C876" s="24">
        <v>1966</v>
      </c>
      <c r="D876" s="24"/>
      <c r="E876" s="24" t="s">
        <v>374</v>
      </c>
      <c r="F876" s="24">
        <v>5</v>
      </c>
      <c r="G876" s="24">
        <v>4</v>
      </c>
      <c r="H876" s="37">
        <v>3244.82</v>
      </c>
      <c r="I876" s="37">
        <v>3244.82</v>
      </c>
      <c r="J876" s="37">
        <v>3023.42</v>
      </c>
      <c r="K876" s="36">
        <v>153</v>
      </c>
      <c r="L876" s="24" t="s">
        <v>489</v>
      </c>
      <c r="M876" s="37">
        <v>3533994.44</v>
      </c>
      <c r="N876" s="37"/>
      <c r="O876" s="37"/>
      <c r="P876" s="37"/>
      <c r="Q876" s="37">
        <v>3533994.44</v>
      </c>
      <c r="R876" s="37">
        <f t="shared" si="66"/>
        <v>1089.1187924137548</v>
      </c>
      <c r="S876" s="29">
        <v>14736.15</v>
      </c>
      <c r="T876" s="37" t="s">
        <v>1359</v>
      </c>
      <c r="U876" s="118">
        <v>6.3</v>
      </c>
      <c r="V876" s="296">
        <v>2020</v>
      </c>
    </row>
    <row r="877" spans="1:22" ht="45">
      <c r="A877" s="70">
        <v>101</v>
      </c>
      <c r="B877" s="34" t="s">
        <v>1109</v>
      </c>
      <c r="C877" s="24">
        <v>1965</v>
      </c>
      <c r="D877" s="24"/>
      <c r="E877" s="24" t="s">
        <v>374</v>
      </c>
      <c r="F877" s="24">
        <v>4</v>
      </c>
      <c r="G877" s="24">
        <v>3</v>
      </c>
      <c r="H877" s="37">
        <v>2022.35</v>
      </c>
      <c r="I877" s="37">
        <v>2022.35</v>
      </c>
      <c r="J877" s="37">
        <v>1851.6</v>
      </c>
      <c r="K877" s="36">
        <v>92</v>
      </c>
      <c r="L877" s="24" t="s">
        <v>489</v>
      </c>
      <c r="M877" s="37">
        <v>2889156.92</v>
      </c>
      <c r="N877" s="37"/>
      <c r="O877" s="37"/>
      <c r="P877" s="37"/>
      <c r="Q877" s="37">
        <v>2889156.92</v>
      </c>
      <c r="R877" s="37">
        <f t="shared" si="66"/>
        <v>1428.6137018814745</v>
      </c>
      <c r="S877" s="29">
        <v>14736.15</v>
      </c>
      <c r="T877" s="37" t="s">
        <v>1359</v>
      </c>
      <c r="U877" s="118">
        <v>6.3</v>
      </c>
      <c r="V877" s="296">
        <v>2020</v>
      </c>
    </row>
    <row r="878" spans="1:22" ht="45">
      <c r="A878" s="70">
        <v>102</v>
      </c>
      <c r="B878" s="34" t="s">
        <v>1110</v>
      </c>
      <c r="C878" s="24">
        <v>1967</v>
      </c>
      <c r="D878" s="24"/>
      <c r="E878" s="24" t="s">
        <v>374</v>
      </c>
      <c r="F878" s="24">
        <v>5</v>
      </c>
      <c r="G878" s="24">
        <v>2</v>
      </c>
      <c r="H878" s="37">
        <v>1556.6</v>
      </c>
      <c r="I878" s="37">
        <v>1556.6</v>
      </c>
      <c r="J878" s="37">
        <v>1492.92</v>
      </c>
      <c r="K878" s="36">
        <v>68</v>
      </c>
      <c r="L878" s="24" t="s">
        <v>489</v>
      </c>
      <c r="M878" s="37">
        <v>1984263.42</v>
      </c>
      <c r="N878" s="37"/>
      <c r="O878" s="37"/>
      <c r="P878" s="37"/>
      <c r="Q878" s="37">
        <v>1984263.42</v>
      </c>
      <c r="R878" s="37">
        <f t="shared" si="66"/>
        <v>1274.7420146473082</v>
      </c>
      <c r="S878" s="29">
        <v>14736.15</v>
      </c>
      <c r="T878" s="37" t="s">
        <v>1359</v>
      </c>
      <c r="U878" s="118">
        <v>6.3</v>
      </c>
      <c r="V878" s="296">
        <v>2020</v>
      </c>
    </row>
    <row r="879" spans="1:22" ht="60">
      <c r="A879" s="70">
        <v>103</v>
      </c>
      <c r="B879" s="87" t="s">
        <v>1111</v>
      </c>
      <c r="C879" s="24">
        <v>1940</v>
      </c>
      <c r="D879" s="24"/>
      <c r="E879" s="24" t="s">
        <v>374</v>
      </c>
      <c r="F879" s="24">
        <v>4</v>
      </c>
      <c r="G879" s="24">
        <v>7</v>
      </c>
      <c r="H879" s="37">
        <v>4813.43</v>
      </c>
      <c r="I879" s="37">
        <v>4592.33</v>
      </c>
      <c r="J879" s="37">
        <v>3774.67</v>
      </c>
      <c r="K879" s="36">
        <v>149</v>
      </c>
      <c r="L879" s="37" t="s">
        <v>146</v>
      </c>
      <c r="M879" s="37">
        <v>5407653.87</v>
      </c>
      <c r="N879" s="37"/>
      <c r="O879" s="37"/>
      <c r="P879" s="37"/>
      <c r="Q879" s="37">
        <v>5407653.87</v>
      </c>
      <c r="R879" s="37">
        <f t="shared" si="66"/>
        <v>1177.5403487989756</v>
      </c>
      <c r="S879" s="29">
        <v>14736.15</v>
      </c>
      <c r="T879" s="37" t="s">
        <v>1359</v>
      </c>
      <c r="U879" s="118">
        <v>6.3</v>
      </c>
      <c r="V879" s="296">
        <v>2020</v>
      </c>
    </row>
    <row r="880" spans="1:22" ht="45">
      <c r="A880" s="70">
        <v>104</v>
      </c>
      <c r="B880" s="34" t="s">
        <v>1112</v>
      </c>
      <c r="C880" s="24">
        <v>1966</v>
      </c>
      <c r="D880" s="24"/>
      <c r="E880" s="24" t="s">
        <v>374</v>
      </c>
      <c r="F880" s="24">
        <v>5</v>
      </c>
      <c r="G880" s="24">
        <v>3</v>
      </c>
      <c r="H880" s="37">
        <v>2486.4</v>
      </c>
      <c r="I880" s="37">
        <v>2486.4</v>
      </c>
      <c r="J880" s="37">
        <v>2439.55</v>
      </c>
      <c r="K880" s="36">
        <v>110</v>
      </c>
      <c r="L880" s="24" t="s">
        <v>489</v>
      </c>
      <c r="M880" s="37">
        <v>3187152.72</v>
      </c>
      <c r="N880" s="37"/>
      <c r="O880" s="37"/>
      <c r="P880" s="37"/>
      <c r="Q880" s="37">
        <v>3187152.72</v>
      </c>
      <c r="R880" s="37">
        <f t="shared" si="66"/>
        <v>1281.8342664092665</v>
      </c>
      <c r="S880" s="29">
        <v>14736.15</v>
      </c>
      <c r="T880" s="37" t="s">
        <v>1359</v>
      </c>
      <c r="U880" s="118">
        <v>6.3</v>
      </c>
      <c r="V880" s="296">
        <v>2020</v>
      </c>
    </row>
    <row r="881" spans="1:22" ht="45">
      <c r="A881" s="70">
        <v>105</v>
      </c>
      <c r="B881" s="34" t="s">
        <v>1113</v>
      </c>
      <c r="C881" s="24">
        <v>1965</v>
      </c>
      <c r="D881" s="24"/>
      <c r="E881" s="24" t="s">
        <v>374</v>
      </c>
      <c r="F881" s="24">
        <v>5</v>
      </c>
      <c r="G881" s="24">
        <v>4</v>
      </c>
      <c r="H881" s="37">
        <v>3009.76</v>
      </c>
      <c r="I881" s="37">
        <v>3009.76</v>
      </c>
      <c r="J881" s="37">
        <v>2916.28</v>
      </c>
      <c r="K881" s="36">
        <v>119</v>
      </c>
      <c r="L881" s="24" t="s">
        <v>489</v>
      </c>
      <c r="M881" s="37">
        <v>3452764.09</v>
      </c>
      <c r="N881" s="37"/>
      <c r="O881" s="37"/>
      <c r="P881" s="37"/>
      <c r="Q881" s="37">
        <v>3452764.09</v>
      </c>
      <c r="R881" s="37">
        <f t="shared" si="66"/>
        <v>1147.1891745521236</v>
      </c>
      <c r="S881" s="29">
        <v>14736.15</v>
      </c>
      <c r="T881" s="37" t="s">
        <v>1359</v>
      </c>
      <c r="U881" s="118">
        <v>6.3</v>
      </c>
      <c r="V881" s="296">
        <v>2020</v>
      </c>
    </row>
    <row r="882" spans="1:22" ht="45">
      <c r="A882" s="70">
        <v>106</v>
      </c>
      <c r="B882" s="34" t="s">
        <v>1114</v>
      </c>
      <c r="C882" s="24">
        <v>1964</v>
      </c>
      <c r="D882" s="24"/>
      <c r="E882" s="24" t="s">
        <v>374</v>
      </c>
      <c r="F882" s="24">
        <v>4</v>
      </c>
      <c r="G882" s="24">
        <v>2</v>
      </c>
      <c r="H882" s="37">
        <v>1307.49</v>
      </c>
      <c r="I882" s="37">
        <v>1307.49</v>
      </c>
      <c r="J882" s="37">
        <v>1207.8</v>
      </c>
      <c r="K882" s="36">
        <v>61</v>
      </c>
      <c r="L882" s="24" t="s">
        <v>489</v>
      </c>
      <c r="M882" s="37">
        <v>1788271.55</v>
      </c>
      <c r="N882" s="37"/>
      <c r="O882" s="37"/>
      <c r="P882" s="37"/>
      <c r="Q882" s="37">
        <v>1788271.55</v>
      </c>
      <c r="R882" s="37">
        <f t="shared" si="66"/>
        <v>1367.7133668326335</v>
      </c>
      <c r="S882" s="29">
        <v>14736.15</v>
      </c>
      <c r="T882" s="37" t="s">
        <v>1359</v>
      </c>
      <c r="U882" s="118">
        <v>6.3</v>
      </c>
      <c r="V882" s="296">
        <v>2020</v>
      </c>
    </row>
    <row r="883" spans="1:22" ht="45">
      <c r="A883" s="70">
        <v>107</v>
      </c>
      <c r="B883" s="34" t="s">
        <v>482</v>
      </c>
      <c r="C883" s="24">
        <v>1964</v>
      </c>
      <c r="D883" s="24"/>
      <c r="E883" s="24" t="s">
        <v>374</v>
      </c>
      <c r="F883" s="24">
        <v>4</v>
      </c>
      <c r="G883" s="24">
        <v>4</v>
      </c>
      <c r="H883" s="37">
        <v>2583.2</v>
      </c>
      <c r="I883" s="37">
        <v>2583.2</v>
      </c>
      <c r="J883" s="37">
        <v>2419.38</v>
      </c>
      <c r="K883" s="36">
        <v>98</v>
      </c>
      <c r="L883" s="24" t="s">
        <v>489</v>
      </c>
      <c r="M883" s="37">
        <v>3004573.83</v>
      </c>
      <c r="N883" s="37"/>
      <c r="O883" s="37"/>
      <c r="P883" s="37"/>
      <c r="Q883" s="37">
        <v>3004573.83</v>
      </c>
      <c r="R883" s="37">
        <f t="shared" si="66"/>
        <v>1163.1208694642305</v>
      </c>
      <c r="S883" s="29">
        <v>14736.15</v>
      </c>
      <c r="T883" s="37" t="s">
        <v>1359</v>
      </c>
      <c r="U883" s="118">
        <v>6.3</v>
      </c>
      <c r="V883" s="296">
        <v>2020</v>
      </c>
    </row>
    <row r="884" spans="1:22" ht="45">
      <c r="A884" s="70">
        <v>108</v>
      </c>
      <c r="B884" s="34" t="s">
        <v>477</v>
      </c>
      <c r="C884" s="24">
        <v>1967</v>
      </c>
      <c r="D884" s="24"/>
      <c r="E884" s="24" t="s">
        <v>374</v>
      </c>
      <c r="F884" s="24">
        <v>5</v>
      </c>
      <c r="G884" s="24">
        <v>4</v>
      </c>
      <c r="H884" s="37">
        <v>3088.66</v>
      </c>
      <c r="I884" s="37">
        <v>3088.66</v>
      </c>
      <c r="J884" s="37">
        <v>2855.73</v>
      </c>
      <c r="K884" s="36">
        <v>139</v>
      </c>
      <c r="L884" s="24" t="s">
        <v>489</v>
      </c>
      <c r="M884" s="37">
        <v>3686341.59</v>
      </c>
      <c r="N884" s="37"/>
      <c r="O884" s="37"/>
      <c r="P884" s="37"/>
      <c r="Q884" s="37">
        <v>3686341.59</v>
      </c>
      <c r="R884" s="37">
        <f t="shared" si="66"/>
        <v>1193.5083790381589</v>
      </c>
      <c r="S884" s="29">
        <v>14736.15</v>
      </c>
      <c r="T884" s="37" t="s">
        <v>1359</v>
      </c>
      <c r="U884" s="118">
        <v>6.3</v>
      </c>
      <c r="V884" s="296">
        <v>2020</v>
      </c>
    </row>
    <row r="885" spans="1:22" ht="45">
      <c r="A885" s="70">
        <v>109</v>
      </c>
      <c r="B885" s="34" t="s">
        <v>478</v>
      </c>
      <c r="C885" s="24">
        <v>1968</v>
      </c>
      <c r="D885" s="24"/>
      <c r="E885" s="24" t="s">
        <v>374</v>
      </c>
      <c r="F885" s="24">
        <v>5</v>
      </c>
      <c r="G885" s="24">
        <v>4</v>
      </c>
      <c r="H885" s="37">
        <v>3317.57</v>
      </c>
      <c r="I885" s="37">
        <v>3317.57</v>
      </c>
      <c r="J885" s="37">
        <v>2986.65</v>
      </c>
      <c r="K885" s="36">
        <v>135</v>
      </c>
      <c r="L885" s="24" t="s">
        <v>489</v>
      </c>
      <c r="M885" s="37">
        <v>3939581.19</v>
      </c>
      <c r="N885" s="37"/>
      <c r="O885" s="37"/>
      <c r="P885" s="37"/>
      <c r="Q885" s="37">
        <v>3939581.19</v>
      </c>
      <c r="R885" s="37">
        <f t="shared" si="66"/>
        <v>1187.4899971967434</v>
      </c>
      <c r="S885" s="29">
        <v>14736.15</v>
      </c>
      <c r="T885" s="37" t="s">
        <v>1359</v>
      </c>
      <c r="U885" s="118">
        <v>6.3</v>
      </c>
      <c r="V885" s="296">
        <v>2020</v>
      </c>
    </row>
    <row r="886" spans="1:22" ht="45">
      <c r="A886" s="70">
        <v>110</v>
      </c>
      <c r="B886" s="34" t="s">
        <v>479</v>
      </c>
      <c r="C886" s="24">
        <v>1965</v>
      </c>
      <c r="D886" s="24"/>
      <c r="E886" s="24" t="s">
        <v>374</v>
      </c>
      <c r="F886" s="24">
        <v>3</v>
      </c>
      <c r="G886" s="24">
        <v>2</v>
      </c>
      <c r="H886" s="37">
        <v>790.91</v>
      </c>
      <c r="I886" s="37">
        <v>790.91</v>
      </c>
      <c r="J886" s="37">
        <v>772.72</v>
      </c>
      <c r="K886" s="36">
        <v>41</v>
      </c>
      <c r="L886" s="24" t="s">
        <v>489</v>
      </c>
      <c r="M886" s="37">
        <v>1578710.8</v>
      </c>
      <c r="N886" s="37"/>
      <c r="O886" s="37"/>
      <c r="P886" s="37"/>
      <c r="Q886" s="37">
        <v>1578710.8</v>
      </c>
      <c r="R886" s="37">
        <f t="shared" si="66"/>
        <v>1996.0688321047908</v>
      </c>
      <c r="S886" s="29">
        <v>14736.15</v>
      </c>
      <c r="T886" s="37" t="s">
        <v>1359</v>
      </c>
      <c r="U886" s="118">
        <v>6.3</v>
      </c>
      <c r="V886" s="296">
        <v>2020</v>
      </c>
    </row>
    <row r="887" spans="1:22" ht="45">
      <c r="A887" s="70">
        <v>111</v>
      </c>
      <c r="B887" s="34" t="s">
        <v>480</v>
      </c>
      <c r="C887" s="24">
        <v>1978</v>
      </c>
      <c r="D887" s="24"/>
      <c r="E887" s="24" t="s">
        <v>374</v>
      </c>
      <c r="F887" s="24">
        <v>4</v>
      </c>
      <c r="G887" s="24">
        <v>3</v>
      </c>
      <c r="H887" s="37">
        <v>1972</v>
      </c>
      <c r="I887" s="37">
        <v>1972</v>
      </c>
      <c r="J887" s="37">
        <v>1751.55</v>
      </c>
      <c r="K887" s="36">
        <v>110</v>
      </c>
      <c r="L887" s="24" t="s">
        <v>489</v>
      </c>
      <c r="M887" s="37">
        <v>2946710.68</v>
      </c>
      <c r="N887" s="37"/>
      <c r="O887" s="37"/>
      <c r="P887" s="37"/>
      <c r="Q887" s="37">
        <v>2946710.68</v>
      </c>
      <c r="R887" s="37">
        <f t="shared" si="66"/>
        <v>1494.275192697769</v>
      </c>
      <c r="S887" s="29">
        <v>14736.15</v>
      </c>
      <c r="T887" s="37" t="s">
        <v>1359</v>
      </c>
      <c r="U887" s="118">
        <v>6.3</v>
      </c>
      <c r="V887" s="296">
        <v>2020</v>
      </c>
    </row>
    <row r="888" spans="1:22" ht="45">
      <c r="A888" s="70">
        <v>112</v>
      </c>
      <c r="B888" s="34" t="s">
        <v>481</v>
      </c>
      <c r="C888" s="24">
        <v>1966</v>
      </c>
      <c r="D888" s="24"/>
      <c r="E888" s="24" t="s">
        <v>374</v>
      </c>
      <c r="F888" s="24">
        <v>5</v>
      </c>
      <c r="G888" s="24">
        <v>4</v>
      </c>
      <c r="H888" s="37">
        <v>3151.38</v>
      </c>
      <c r="I888" s="37">
        <v>3151.38</v>
      </c>
      <c r="J888" s="37">
        <v>2982.53</v>
      </c>
      <c r="K888" s="36">
        <v>131</v>
      </c>
      <c r="L888" s="24" t="s">
        <v>489</v>
      </c>
      <c r="M888" s="37">
        <v>3206063.26</v>
      </c>
      <c r="N888" s="37"/>
      <c r="O888" s="37"/>
      <c r="P888" s="37"/>
      <c r="Q888" s="37">
        <v>3206063.26</v>
      </c>
      <c r="R888" s="37">
        <f t="shared" si="66"/>
        <v>1017.3521631793054</v>
      </c>
      <c r="S888" s="29">
        <v>14736.15</v>
      </c>
      <c r="T888" s="37" t="s">
        <v>1359</v>
      </c>
      <c r="U888" s="118">
        <v>6.3</v>
      </c>
      <c r="V888" s="296">
        <v>2020</v>
      </c>
    </row>
    <row r="889" spans="1:22" ht="45">
      <c r="A889" s="70">
        <v>113</v>
      </c>
      <c r="B889" s="87" t="s">
        <v>254</v>
      </c>
      <c r="C889" s="35">
        <v>1994</v>
      </c>
      <c r="D889" s="37"/>
      <c r="E889" s="37" t="s">
        <v>494</v>
      </c>
      <c r="F889" s="36">
        <v>5</v>
      </c>
      <c r="G889" s="36">
        <v>5</v>
      </c>
      <c r="H889" s="37">
        <v>5527.9</v>
      </c>
      <c r="I889" s="37">
        <v>5527.9</v>
      </c>
      <c r="J889" s="37">
        <v>5527.9</v>
      </c>
      <c r="K889" s="36">
        <v>232</v>
      </c>
      <c r="L889" s="24" t="s">
        <v>489</v>
      </c>
      <c r="M889" s="37">
        <v>2079360.2</v>
      </c>
      <c r="N889" s="91"/>
      <c r="O889" s="28"/>
      <c r="P889" s="28"/>
      <c r="Q889" s="28">
        <v>2079360.2</v>
      </c>
      <c r="R889" s="28">
        <f t="shared" si="66"/>
        <v>376.15734727473364</v>
      </c>
      <c r="S889" s="30">
        <v>14736.15</v>
      </c>
      <c r="T889" s="28" t="s">
        <v>1359</v>
      </c>
      <c r="U889" s="146">
        <v>6.3</v>
      </c>
      <c r="V889" s="296">
        <v>2020</v>
      </c>
    </row>
    <row r="890" spans="1:22" ht="45">
      <c r="A890" s="70">
        <v>114</v>
      </c>
      <c r="B890" s="185" t="s">
        <v>255</v>
      </c>
      <c r="C890" s="44">
        <v>1991</v>
      </c>
      <c r="D890" s="28"/>
      <c r="E890" s="28" t="s">
        <v>126</v>
      </c>
      <c r="F890" s="186">
        <v>5</v>
      </c>
      <c r="G890" s="186">
        <v>3</v>
      </c>
      <c r="H890" s="28">
        <v>3340.04</v>
      </c>
      <c r="I890" s="28">
        <v>3340.04</v>
      </c>
      <c r="J890" s="28">
        <v>3121.62</v>
      </c>
      <c r="K890" s="186">
        <v>162</v>
      </c>
      <c r="L890" s="27" t="s">
        <v>489</v>
      </c>
      <c r="M890" s="28">
        <v>1083398.71</v>
      </c>
      <c r="N890" s="8"/>
      <c r="O890" s="37"/>
      <c r="P890" s="37"/>
      <c r="Q890" s="37">
        <v>1083398.71</v>
      </c>
      <c r="R890" s="37">
        <f t="shared" si="66"/>
        <v>324.3669866229147</v>
      </c>
      <c r="S890" s="29">
        <v>14736.15</v>
      </c>
      <c r="T890" s="37" t="s">
        <v>1359</v>
      </c>
      <c r="U890" s="118">
        <v>6.3</v>
      </c>
      <c r="V890" s="296">
        <v>2020</v>
      </c>
    </row>
    <row r="891" spans="1:22" ht="45">
      <c r="A891" s="70">
        <v>115</v>
      </c>
      <c r="B891" s="87" t="s">
        <v>256</v>
      </c>
      <c r="C891" s="35">
        <v>1982</v>
      </c>
      <c r="D891" s="37"/>
      <c r="E891" s="37" t="s">
        <v>494</v>
      </c>
      <c r="F891" s="36">
        <v>5</v>
      </c>
      <c r="G891" s="36">
        <v>4</v>
      </c>
      <c r="H891" s="37">
        <v>3059.39</v>
      </c>
      <c r="I891" s="37">
        <v>3059.39</v>
      </c>
      <c r="J891" s="37">
        <v>3026.49</v>
      </c>
      <c r="K891" s="36">
        <v>132</v>
      </c>
      <c r="L891" s="24" t="s">
        <v>489</v>
      </c>
      <c r="M891" s="37">
        <v>1373366.09</v>
      </c>
      <c r="N891" s="91"/>
      <c r="O891" s="28"/>
      <c r="P891" s="28"/>
      <c r="Q891" s="28">
        <v>1373366.09</v>
      </c>
      <c r="R891" s="28">
        <f t="shared" si="66"/>
        <v>448.9019346994009</v>
      </c>
      <c r="S891" s="30">
        <v>14736.15</v>
      </c>
      <c r="T891" s="28" t="s">
        <v>1359</v>
      </c>
      <c r="U891" s="146">
        <v>6.3</v>
      </c>
      <c r="V891" s="296">
        <v>2020</v>
      </c>
    </row>
    <row r="892" spans="1:22" ht="45">
      <c r="A892" s="70">
        <v>116</v>
      </c>
      <c r="B892" s="185" t="s">
        <v>652</v>
      </c>
      <c r="C892" s="44">
        <v>1977</v>
      </c>
      <c r="D892" s="28"/>
      <c r="E892" s="28" t="s">
        <v>494</v>
      </c>
      <c r="F892" s="186">
        <v>5</v>
      </c>
      <c r="G892" s="186">
        <v>4</v>
      </c>
      <c r="H892" s="28">
        <v>3058.33</v>
      </c>
      <c r="I892" s="28">
        <v>3058.33</v>
      </c>
      <c r="J892" s="28">
        <v>2721.54</v>
      </c>
      <c r="K892" s="186">
        <v>147</v>
      </c>
      <c r="L892" s="27" t="s">
        <v>489</v>
      </c>
      <c r="M892" s="28">
        <v>1447090.62</v>
      </c>
      <c r="N892" s="8"/>
      <c r="O892" s="37"/>
      <c r="P892" s="37"/>
      <c r="Q892" s="37">
        <v>1447090.62</v>
      </c>
      <c r="R892" s="37">
        <f t="shared" si="66"/>
        <v>473.16366121379974</v>
      </c>
      <c r="S892" s="29">
        <v>14736.15</v>
      </c>
      <c r="T892" s="37" t="s">
        <v>1359</v>
      </c>
      <c r="U892" s="118">
        <v>6.3</v>
      </c>
      <c r="V892" s="296">
        <v>2020</v>
      </c>
    </row>
    <row r="893" spans="1:22" ht="45">
      <c r="A893" s="70">
        <v>117</v>
      </c>
      <c r="B893" s="87" t="s">
        <v>1577</v>
      </c>
      <c r="C893" s="35">
        <v>1997</v>
      </c>
      <c r="D893" s="37"/>
      <c r="E893" s="37" t="s">
        <v>374</v>
      </c>
      <c r="F893" s="36">
        <v>3</v>
      </c>
      <c r="G893" s="36">
        <v>3</v>
      </c>
      <c r="H893" s="37">
        <v>1514.27</v>
      </c>
      <c r="I893" s="37">
        <v>1514.27</v>
      </c>
      <c r="J893" s="37">
        <v>1514.27</v>
      </c>
      <c r="K893" s="36">
        <v>77</v>
      </c>
      <c r="L893" s="24" t="s">
        <v>489</v>
      </c>
      <c r="M893" s="37">
        <v>2945631.57</v>
      </c>
      <c r="N893" s="91"/>
      <c r="O893" s="28"/>
      <c r="P893" s="28"/>
      <c r="Q893" s="28">
        <v>2945631.57</v>
      </c>
      <c r="R893" s="28">
        <f t="shared" si="66"/>
        <v>1945.2485818249056</v>
      </c>
      <c r="S893" s="30">
        <v>14736.15</v>
      </c>
      <c r="T893" s="28" t="s">
        <v>1359</v>
      </c>
      <c r="U893" s="146">
        <v>6.3</v>
      </c>
      <c r="V893" s="296">
        <v>2020</v>
      </c>
    </row>
    <row r="894" spans="1:22" ht="45">
      <c r="A894" s="70">
        <v>118</v>
      </c>
      <c r="B894" s="185" t="s">
        <v>1578</v>
      </c>
      <c r="C894" s="44">
        <v>1973</v>
      </c>
      <c r="D894" s="28"/>
      <c r="E894" s="28" t="s">
        <v>374</v>
      </c>
      <c r="F894" s="186">
        <v>5</v>
      </c>
      <c r="G894" s="186">
        <v>4</v>
      </c>
      <c r="H894" s="28">
        <v>3410.27</v>
      </c>
      <c r="I894" s="28">
        <v>3410.27</v>
      </c>
      <c r="J894" s="28">
        <v>3201.21</v>
      </c>
      <c r="K894" s="186">
        <v>109</v>
      </c>
      <c r="L894" s="27" t="s">
        <v>489</v>
      </c>
      <c r="M894" s="28">
        <v>2019867.85</v>
      </c>
      <c r="N894" s="8"/>
      <c r="O894" s="37"/>
      <c r="P894" s="37"/>
      <c r="Q894" s="37">
        <v>2019867.85</v>
      </c>
      <c r="R894" s="37">
        <f t="shared" si="66"/>
        <v>592.2897160635375</v>
      </c>
      <c r="S894" s="29">
        <v>14736.15</v>
      </c>
      <c r="T894" s="37" t="s">
        <v>1359</v>
      </c>
      <c r="U894" s="118">
        <v>6.3</v>
      </c>
      <c r="V894" s="296">
        <v>2020</v>
      </c>
    </row>
    <row r="895" spans="1:22" ht="45">
      <c r="A895" s="70">
        <v>119</v>
      </c>
      <c r="B895" s="87" t="s">
        <v>257</v>
      </c>
      <c r="C895" s="35">
        <v>1983</v>
      </c>
      <c r="D895" s="37"/>
      <c r="E895" s="37" t="s">
        <v>374</v>
      </c>
      <c r="F895" s="36">
        <v>2</v>
      </c>
      <c r="G895" s="36">
        <v>3</v>
      </c>
      <c r="H895" s="37">
        <v>841.78</v>
      </c>
      <c r="I895" s="37">
        <v>841.78</v>
      </c>
      <c r="J895" s="37">
        <v>798.7</v>
      </c>
      <c r="K895" s="36">
        <v>39</v>
      </c>
      <c r="L895" s="24" t="s">
        <v>489</v>
      </c>
      <c r="M895" s="37">
        <v>2669789.53</v>
      </c>
      <c r="N895" s="91"/>
      <c r="O895" s="28"/>
      <c r="P895" s="28"/>
      <c r="Q895" s="28">
        <v>2669789.53</v>
      </c>
      <c r="R895" s="28">
        <f t="shared" si="66"/>
        <v>3171.6000974126255</v>
      </c>
      <c r="S895" s="30">
        <v>14736.15</v>
      </c>
      <c r="T895" s="28" t="s">
        <v>1359</v>
      </c>
      <c r="U895" s="146">
        <v>6.3</v>
      </c>
      <c r="V895" s="296">
        <v>2020</v>
      </c>
    </row>
    <row r="896" spans="1:22" ht="105">
      <c r="A896" s="70">
        <v>120</v>
      </c>
      <c r="B896" s="185" t="s">
        <v>1579</v>
      </c>
      <c r="C896" s="44">
        <v>1960</v>
      </c>
      <c r="D896" s="28"/>
      <c r="E896" s="28" t="s">
        <v>374</v>
      </c>
      <c r="F896" s="186">
        <v>2</v>
      </c>
      <c r="G896" s="186">
        <v>1</v>
      </c>
      <c r="H896" s="28">
        <v>1261.36</v>
      </c>
      <c r="I896" s="28">
        <v>1261.36</v>
      </c>
      <c r="J896" s="28">
        <v>1207.1</v>
      </c>
      <c r="K896" s="186">
        <v>21</v>
      </c>
      <c r="L896" s="28" t="s">
        <v>1556</v>
      </c>
      <c r="M896" s="28">
        <v>652598.63</v>
      </c>
      <c r="N896" s="8"/>
      <c r="O896" s="37"/>
      <c r="P896" s="37"/>
      <c r="Q896" s="37">
        <v>652598.63</v>
      </c>
      <c r="R896" s="37">
        <f t="shared" si="66"/>
        <v>517.3769819876959</v>
      </c>
      <c r="S896" s="29">
        <v>14736.15</v>
      </c>
      <c r="T896" s="37" t="s">
        <v>1359</v>
      </c>
      <c r="U896" s="118">
        <v>6.3</v>
      </c>
      <c r="V896" s="296">
        <v>2020</v>
      </c>
    </row>
    <row r="897" spans="1:22" ht="45">
      <c r="A897" s="70">
        <v>121</v>
      </c>
      <c r="B897" s="87" t="s">
        <v>542</v>
      </c>
      <c r="C897" s="35">
        <v>1962</v>
      </c>
      <c r="D897" s="37"/>
      <c r="E897" s="37" t="s">
        <v>374</v>
      </c>
      <c r="F897" s="36">
        <v>4</v>
      </c>
      <c r="G897" s="36">
        <v>2</v>
      </c>
      <c r="H897" s="37">
        <v>1261.36</v>
      </c>
      <c r="I897" s="37">
        <v>1261.36</v>
      </c>
      <c r="J897" s="37">
        <v>3212.41</v>
      </c>
      <c r="K897" s="36">
        <v>60</v>
      </c>
      <c r="L897" s="24" t="s">
        <v>489</v>
      </c>
      <c r="M897" s="37">
        <v>2153535.26</v>
      </c>
      <c r="N897" s="91"/>
      <c r="O897" s="28"/>
      <c r="P897" s="28"/>
      <c r="Q897" s="28">
        <v>2153535.26</v>
      </c>
      <c r="R897" s="28">
        <f t="shared" si="66"/>
        <v>1707.312155134141</v>
      </c>
      <c r="S897" s="30">
        <v>14736.15</v>
      </c>
      <c r="T897" s="28" t="s">
        <v>1359</v>
      </c>
      <c r="U897" s="146">
        <v>6.3</v>
      </c>
      <c r="V897" s="296">
        <v>2020</v>
      </c>
    </row>
    <row r="898" spans="1:22" ht="135">
      <c r="A898" s="70">
        <v>122</v>
      </c>
      <c r="B898" s="185" t="s">
        <v>518</v>
      </c>
      <c r="C898" s="44">
        <v>1967</v>
      </c>
      <c r="D898" s="28"/>
      <c r="E898" s="28" t="s">
        <v>374</v>
      </c>
      <c r="F898" s="186">
        <v>5</v>
      </c>
      <c r="G898" s="186">
        <v>3</v>
      </c>
      <c r="H898" s="28">
        <v>2525.4</v>
      </c>
      <c r="I898" s="28">
        <v>2525.4</v>
      </c>
      <c r="J898" s="28">
        <v>2353</v>
      </c>
      <c r="K898" s="186">
        <v>106</v>
      </c>
      <c r="L898" s="28" t="s">
        <v>1557</v>
      </c>
      <c r="M898" s="28">
        <v>3523897.98</v>
      </c>
      <c r="N898" s="8"/>
      <c r="O898" s="37"/>
      <c r="P898" s="37"/>
      <c r="Q898" s="37">
        <v>3523897.98</v>
      </c>
      <c r="R898" s="37">
        <f t="shared" si="66"/>
        <v>1395.3821097647897</v>
      </c>
      <c r="S898" s="29">
        <v>14736.15</v>
      </c>
      <c r="T898" s="37" t="s">
        <v>1359</v>
      </c>
      <c r="U898" s="118">
        <v>6.3</v>
      </c>
      <c r="V898" s="296">
        <v>2020</v>
      </c>
    </row>
    <row r="899" spans="1:22" ht="105">
      <c r="A899" s="70">
        <v>123</v>
      </c>
      <c r="B899" s="87" t="s">
        <v>519</v>
      </c>
      <c r="C899" s="35">
        <v>1972</v>
      </c>
      <c r="D899" s="37"/>
      <c r="E899" s="37" t="s">
        <v>374</v>
      </c>
      <c r="F899" s="36">
        <v>5</v>
      </c>
      <c r="G899" s="36">
        <v>6</v>
      </c>
      <c r="H899" s="37">
        <v>4514.71</v>
      </c>
      <c r="I899" s="37">
        <v>4514.71</v>
      </c>
      <c r="J899" s="37">
        <v>4139.96</v>
      </c>
      <c r="K899" s="36">
        <v>210</v>
      </c>
      <c r="L899" s="37" t="s">
        <v>1556</v>
      </c>
      <c r="M899" s="37">
        <v>4598859.98</v>
      </c>
      <c r="N899" s="91"/>
      <c r="O899" s="28"/>
      <c r="P899" s="28"/>
      <c r="Q899" s="28">
        <v>4598859.98</v>
      </c>
      <c r="R899" s="28">
        <f t="shared" si="66"/>
        <v>1018.6390665181153</v>
      </c>
      <c r="S899" s="30">
        <v>14736.15</v>
      </c>
      <c r="T899" s="28" t="s">
        <v>1359</v>
      </c>
      <c r="U899" s="146">
        <v>6.3</v>
      </c>
      <c r="V899" s="296">
        <v>2020</v>
      </c>
    </row>
    <row r="900" spans="1:22" ht="45">
      <c r="A900" s="70">
        <v>124</v>
      </c>
      <c r="B900" s="185" t="s">
        <v>543</v>
      </c>
      <c r="C900" s="44">
        <v>1988</v>
      </c>
      <c r="D900" s="28"/>
      <c r="E900" s="28" t="s">
        <v>374</v>
      </c>
      <c r="F900" s="186">
        <v>2</v>
      </c>
      <c r="G900" s="186">
        <v>1</v>
      </c>
      <c r="H900" s="28">
        <v>483.92</v>
      </c>
      <c r="I900" s="28">
        <v>483.92</v>
      </c>
      <c r="J900" s="28">
        <v>278.99</v>
      </c>
      <c r="K900" s="186">
        <v>24</v>
      </c>
      <c r="L900" s="27" t="s">
        <v>489</v>
      </c>
      <c r="M900" s="28">
        <v>1434146.92</v>
      </c>
      <c r="N900" s="8"/>
      <c r="O900" s="37"/>
      <c r="P900" s="37"/>
      <c r="Q900" s="37">
        <v>1434146.92</v>
      </c>
      <c r="R900" s="37">
        <f t="shared" si="66"/>
        <v>2963.6033228632828</v>
      </c>
      <c r="S900" s="29">
        <v>14736.15</v>
      </c>
      <c r="T900" s="37" t="s">
        <v>1359</v>
      </c>
      <c r="U900" s="118">
        <v>6.3</v>
      </c>
      <c r="V900" s="296">
        <v>2020</v>
      </c>
    </row>
    <row r="901" spans="1:22" ht="45">
      <c r="A901" s="70">
        <v>125</v>
      </c>
      <c r="B901" s="87" t="s">
        <v>520</v>
      </c>
      <c r="C901" s="35">
        <v>1962</v>
      </c>
      <c r="D901" s="37"/>
      <c r="E901" s="37" t="s">
        <v>374</v>
      </c>
      <c r="F901" s="36">
        <v>4</v>
      </c>
      <c r="G901" s="36">
        <v>3</v>
      </c>
      <c r="H901" s="37">
        <v>2014.36</v>
      </c>
      <c r="I901" s="37">
        <v>2014.36</v>
      </c>
      <c r="J901" s="37">
        <v>1973.64</v>
      </c>
      <c r="K901" s="36">
        <v>75</v>
      </c>
      <c r="L901" s="24" t="s">
        <v>489</v>
      </c>
      <c r="M901" s="37">
        <v>2670808.87</v>
      </c>
      <c r="N901" s="91"/>
      <c r="O901" s="28"/>
      <c r="P901" s="28"/>
      <c r="Q901" s="28">
        <v>2670808.87</v>
      </c>
      <c r="R901" s="28">
        <f t="shared" si="66"/>
        <v>1325.8845836891123</v>
      </c>
      <c r="S901" s="30">
        <v>14736.15</v>
      </c>
      <c r="T901" s="28" t="s">
        <v>1359</v>
      </c>
      <c r="U901" s="146">
        <v>6.3</v>
      </c>
      <c r="V901" s="296">
        <v>2020</v>
      </c>
    </row>
    <row r="902" spans="1:22" ht="135">
      <c r="A902" s="70">
        <v>126</v>
      </c>
      <c r="B902" s="185" t="s">
        <v>544</v>
      </c>
      <c r="C902" s="44">
        <v>1960</v>
      </c>
      <c r="D902" s="28"/>
      <c r="E902" s="28" t="s">
        <v>374</v>
      </c>
      <c r="F902" s="186">
        <v>4</v>
      </c>
      <c r="G902" s="186">
        <v>3</v>
      </c>
      <c r="H902" s="28">
        <v>1898.79</v>
      </c>
      <c r="I902" s="28">
        <v>1898.79</v>
      </c>
      <c r="J902" s="28">
        <v>1898.79</v>
      </c>
      <c r="K902" s="186">
        <v>75</v>
      </c>
      <c r="L902" s="28" t="s">
        <v>1553</v>
      </c>
      <c r="M902" s="28">
        <v>2216873.38</v>
      </c>
      <c r="N902" s="8"/>
      <c r="O902" s="37"/>
      <c r="P902" s="37"/>
      <c r="Q902" s="37">
        <v>2216873.38</v>
      </c>
      <c r="R902" s="37">
        <f t="shared" si="66"/>
        <v>1167.5189884084075</v>
      </c>
      <c r="S902" s="29">
        <v>14736.15</v>
      </c>
      <c r="T902" s="37" t="s">
        <v>1359</v>
      </c>
      <c r="U902" s="118">
        <v>6.3</v>
      </c>
      <c r="V902" s="296">
        <v>2020</v>
      </c>
    </row>
    <row r="903" spans="1:22" ht="30">
      <c r="A903" s="70">
        <v>127</v>
      </c>
      <c r="B903" s="263" t="s">
        <v>230</v>
      </c>
      <c r="C903" s="35">
        <v>1970</v>
      </c>
      <c r="D903" s="37"/>
      <c r="E903" s="37" t="s">
        <v>374</v>
      </c>
      <c r="F903" s="36">
        <v>5</v>
      </c>
      <c r="G903" s="36">
        <v>4</v>
      </c>
      <c r="H903" s="37">
        <v>2871.43</v>
      </c>
      <c r="I903" s="37">
        <v>2871.43</v>
      </c>
      <c r="J903" s="37">
        <v>2871.43</v>
      </c>
      <c r="K903" s="36">
        <v>80</v>
      </c>
      <c r="L903" s="37" t="s">
        <v>489</v>
      </c>
      <c r="M903" s="37">
        <v>2333800.25</v>
      </c>
      <c r="N903" s="8"/>
      <c r="O903" s="37"/>
      <c r="P903" s="37"/>
      <c r="Q903" s="37">
        <v>2333800.25</v>
      </c>
      <c r="R903" s="37">
        <f t="shared" si="66"/>
        <v>812.7658518577852</v>
      </c>
      <c r="S903" s="29">
        <v>14736.15</v>
      </c>
      <c r="T903" s="37" t="s">
        <v>1418</v>
      </c>
      <c r="U903" s="118">
        <v>6.3</v>
      </c>
      <c r="V903" s="296">
        <v>2020</v>
      </c>
    </row>
    <row r="904" spans="1:22" ht="15">
      <c r="A904" s="70"/>
      <c r="B904" s="112" t="s">
        <v>1297</v>
      </c>
      <c r="C904" s="29"/>
      <c r="D904" s="29"/>
      <c r="E904" s="29"/>
      <c r="F904" s="29"/>
      <c r="G904" s="29"/>
      <c r="H904" s="81">
        <f>SUM(H870:H903)</f>
        <v>86711.85999999999</v>
      </c>
      <c r="I904" s="81">
        <f aca="true" t="shared" si="67" ref="I904:Q904">SUM(I870:I903)</f>
        <v>86490.75999999998</v>
      </c>
      <c r="J904" s="81">
        <f t="shared" si="67"/>
        <v>82289.11</v>
      </c>
      <c r="K904" s="98">
        <f t="shared" si="67"/>
        <v>3595</v>
      </c>
      <c r="L904" s="81"/>
      <c r="M904" s="81">
        <f t="shared" si="67"/>
        <v>94004469.21</v>
      </c>
      <c r="N904" s="81"/>
      <c r="O904" s="81"/>
      <c r="P904" s="81"/>
      <c r="Q904" s="81">
        <f t="shared" si="67"/>
        <v>94004469.21</v>
      </c>
      <c r="R904" s="81">
        <f t="shared" si="66"/>
        <v>1086.8729701299885</v>
      </c>
      <c r="S904" s="96"/>
      <c r="T904" s="76"/>
      <c r="U904" s="175"/>
      <c r="V904" s="296"/>
    </row>
    <row r="905" spans="1:22" ht="15">
      <c r="A905" s="300" t="s">
        <v>1371</v>
      </c>
      <c r="B905" s="301"/>
      <c r="C905" s="301"/>
      <c r="D905" s="301"/>
      <c r="E905" s="301"/>
      <c r="F905" s="301"/>
      <c r="G905" s="301"/>
      <c r="H905" s="301"/>
      <c r="I905" s="301"/>
      <c r="J905" s="301"/>
      <c r="K905" s="301"/>
      <c r="L905" s="301"/>
      <c r="M905" s="301"/>
      <c r="N905" s="301"/>
      <c r="O905" s="301"/>
      <c r="P905" s="301"/>
      <c r="Q905" s="302"/>
      <c r="R905" s="301"/>
      <c r="S905" s="301"/>
      <c r="T905" s="301"/>
      <c r="U905" s="303"/>
      <c r="V905" s="296"/>
    </row>
    <row r="906" spans="1:22" ht="45">
      <c r="A906" s="70">
        <v>128</v>
      </c>
      <c r="B906" s="34" t="s">
        <v>725</v>
      </c>
      <c r="C906" s="35">
        <v>1969</v>
      </c>
      <c r="D906" s="29"/>
      <c r="E906" s="35" t="s">
        <v>374</v>
      </c>
      <c r="F906" s="35">
        <v>5</v>
      </c>
      <c r="G906" s="35">
        <v>8</v>
      </c>
      <c r="H906" s="37">
        <v>6115.9</v>
      </c>
      <c r="I906" s="37">
        <v>6115.9</v>
      </c>
      <c r="J906" s="37">
        <v>5520.7</v>
      </c>
      <c r="K906" s="36">
        <v>346</v>
      </c>
      <c r="L906" s="24" t="s">
        <v>501</v>
      </c>
      <c r="M906" s="37">
        <v>8069686.28</v>
      </c>
      <c r="N906" s="37"/>
      <c r="O906" s="37"/>
      <c r="P906" s="37"/>
      <c r="Q906" s="37">
        <v>8069686.28</v>
      </c>
      <c r="R906" s="29">
        <f>M906/I906</f>
        <v>1319.4601415981297</v>
      </c>
      <c r="S906" s="29">
        <v>14736.15</v>
      </c>
      <c r="T906" s="29" t="s">
        <v>1359</v>
      </c>
      <c r="U906" s="118">
        <v>6.3</v>
      </c>
      <c r="V906" s="296">
        <v>2020</v>
      </c>
    </row>
    <row r="907" spans="1:22" ht="180">
      <c r="A907" s="70">
        <v>129</v>
      </c>
      <c r="B907" s="34" t="s">
        <v>726</v>
      </c>
      <c r="C907" s="35">
        <v>1970</v>
      </c>
      <c r="D907" s="29"/>
      <c r="E907" s="35" t="s">
        <v>374</v>
      </c>
      <c r="F907" s="35">
        <v>5</v>
      </c>
      <c r="G907" s="35">
        <v>2</v>
      </c>
      <c r="H907" s="37">
        <v>3892.9</v>
      </c>
      <c r="I907" s="37">
        <v>3892.9</v>
      </c>
      <c r="J907" s="37">
        <v>3710.1</v>
      </c>
      <c r="K907" s="36">
        <v>234</v>
      </c>
      <c r="L907" s="24" t="s">
        <v>852</v>
      </c>
      <c r="M907" s="37">
        <v>7852371.62</v>
      </c>
      <c r="N907" s="37"/>
      <c r="O907" s="37"/>
      <c r="P907" s="37"/>
      <c r="Q907" s="37">
        <v>7852371.62</v>
      </c>
      <c r="R907" s="29">
        <f aca="true" t="shared" si="68" ref="R907:R930">M907/I907</f>
        <v>2017.100778340055</v>
      </c>
      <c r="S907" s="29">
        <v>14736.15</v>
      </c>
      <c r="T907" s="29" t="s">
        <v>1359</v>
      </c>
      <c r="U907" s="118">
        <v>6.3</v>
      </c>
      <c r="V907" s="296">
        <v>2020</v>
      </c>
    </row>
    <row r="908" spans="1:22" ht="135">
      <c r="A908" s="70">
        <v>130</v>
      </c>
      <c r="B908" s="99" t="s">
        <v>1116</v>
      </c>
      <c r="C908" s="35">
        <v>1969</v>
      </c>
      <c r="D908" s="29"/>
      <c r="E908" s="35" t="s">
        <v>374</v>
      </c>
      <c r="F908" s="35">
        <v>5</v>
      </c>
      <c r="G908" s="35">
        <v>4</v>
      </c>
      <c r="H908" s="37">
        <v>3928.68</v>
      </c>
      <c r="I908" s="37">
        <v>3928.68</v>
      </c>
      <c r="J908" s="37">
        <v>2415.4</v>
      </c>
      <c r="K908" s="36">
        <v>144</v>
      </c>
      <c r="L908" s="24" t="s">
        <v>1558</v>
      </c>
      <c r="M908" s="37">
        <v>5112107.14</v>
      </c>
      <c r="N908" s="37"/>
      <c r="O908" s="37"/>
      <c r="P908" s="37"/>
      <c r="Q908" s="37">
        <v>5112107.14</v>
      </c>
      <c r="R908" s="29">
        <f t="shared" si="68"/>
        <v>1301.2276744351793</v>
      </c>
      <c r="S908" s="29">
        <v>14736.15</v>
      </c>
      <c r="T908" s="29" t="s">
        <v>1359</v>
      </c>
      <c r="U908" s="118">
        <v>6.3</v>
      </c>
      <c r="V908" s="296">
        <v>2020</v>
      </c>
    </row>
    <row r="909" spans="1:22" ht="195">
      <c r="A909" s="70">
        <v>131</v>
      </c>
      <c r="B909" s="99" t="s">
        <v>1117</v>
      </c>
      <c r="C909" s="35">
        <v>1968</v>
      </c>
      <c r="D909" s="29"/>
      <c r="E909" s="35" t="s">
        <v>374</v>
      </c>
      <c r="F909" s="35">
        <v>9</v>
      </c>
      <c r="G909" s="35">
        <v>1</v>
      </c>
      <c r="H909" s="37">
        <v>2230.9</v>
      </c>
      <c r="I909" s="37">
        <v>2230.9</v>
      </c>
      <c r="J909" s="37">
        <v>1973.6</v>
      </c>
      <c r="K909" s="36">
        <v>155</v>
      </c>
      <c r="L909" s="24" t="s">
        <v>853</v>
      </c>
      <c r="M909" s="37">
        <v>5691963.31</v>
      </c>
      <c r="N909" s="37"/>
      <c r="O909" s="37"/>
      <c r="P909" s="37"/>
      <c r="Q909" s="37">
        <v>5691963.31</v>
      </c>
      <c r="R909" s="29">
        <f t="shared" si="68"/>
        <v>2551.4201936438208</v>
      </c>
      <c r="S909" s="29">
        <v>14736.15</v>
      </c>
      <c r="T909" s="29" t="s">
        <v>1359</v>
      </c>
      <c r="U909" s="118">
        <v>6.3</v>
      </c>
      <c r="V909" s="296">
        <v>2020</v>
      </c>
    </row>
    <row r="910" spans="1:22" ht="45">
      <c r="A910" s="70">
        <v>132</v>
      </c>
      <c r="B910" s="120" t="s">
        <v>297</v>
      </c>
      <c r="C910" s="35">
        <v>1970</v>
      </c>
      <c r="D910" s="29"/>
      <c r="E910" s="35" t="s">
        <v>374</v>
      </c>
      <c r="F910" s="35">
        <v>4</v>
      </c>
      <c r="G910" s="35">
        <v>2</v>
      </c>
      <c r="H910" s="37">
        <v>2233.12</v>
      </c>
      <c r="I910" s="37">
        <v>2233.12</v>
      </c>
      <c r="J910" s="37">
        <v>1837.8</v>
      </c>
      <c r="K910" s="36">
        <v>141</v>
      </c>
      <c r="L910" s="24" t="s">
        <v>498</v>
      </c>
      <c r="M910" s="37">
        <v>1165981.86</v>
      </c>
      <c r="N910" s="37"/>
      <c r="O910" s="37"/>
      <c r="P910" s="37"/>
      <c r="Q910" s="37">
        <v>1165981.86</v>
      </c>
      <c r="R910" s="29">
        <f t="shared" si="68"/>
        <v>522.1313050798883</v>
      </c>
      <c r="S910" s="29">
        <v>14736.15</v>
      </c>
      <c r="T910" s="29" t="s">
        <v>1359</v>
      </c>
      <c r="U910" s="118">
        <v>6.3</v>
      </c>
      <c r="V910" s="296">
        <v>2020</v>
      </c>
    </row>
    <row r="911" spans="1:22" ht="195">
      <c r="A911" s="70">
        <v>133</v>
      </c>
      <c r="B911" s="99" t="s">
        <v>294</v>
      </c>
      <c r="C911" s="35">
        <v>1969</v>
      </c>
      <c r="D911" s="29"/>
      <c r="E911" s="35" t="s">
        <v>374</v>
      </c>
      <c r="F911" s="35">
        <v>5</v>
      </c>
      <c r="G911" s="35">
        <v>6</v>
      </c>
      <c r="H911" s="37">
        <v>4410</v>
      </c>
      <c r="I911" s="37">
        <v>4407.7</v>
      </c>
      <c r="J911" s="37">
        <v>3991.8</v>
      </c>
      <c r="K911" s="36">
        <v>227</v>
      </c>
      <c r="L911" s="24" t="s">
        <v>1564</v>
      </c>
      <c r="M911" s="37">
        <v>8851567.37</v>
      </c>
      <c r="N911" s="37"/>
      <c r="O911" s="37"/>
      <c r="P911" s="37"/>
      <c r="Q911" s="37">
        <v>8851567.37</v>
      </c>
      <c r="R911" s="29">
        <f t="shared" si="68"/>
        <v>2008.2054971980851</v>
      </c>
      <c r="S911" s="29">
        <v>14736.15</v>
      </c>
      <c r="T911" s="29" t="s">
        <v>1359</v>
      </c>
      <c r="U911" s="118">
        <v>6.3</v>
      </c>
      <c r="V911" s="296">
        <v>2020</v>
      </c>
    </row>
    <row r="912" spans="1:22" ht="195">
      <c r="A912" s="70">
        <v>134</v>
      </c>
      <c r="B912" s="120" t="s">
        <v>295</v>
      </c>
      <c r="C912" s="35">
        <v>1969</v>
      </c>
      <c r="D912" s="29"/>
      <c r="E912" s="35" t="s">
        <v>494</v>
      </c>
      <c r="F912" s="35">
        <v>5</v>
      </c>
      <c r="G912" s="35">
        <v>3</v>
      </c>
      <c r="H912" s="37">
        <v>2567.2</v>
      </c>
      <c r="I912" s="37">
        <v>2567.2</v>
      </c>
      <c r="J912" s="37">
        <v>1790.2</v>
      </c>
      <c r="K912" s="36">
        <v>156</v>
      </c>
      <c r="L912" s="24" t="s">
        <v>854</v>
      </c>
      <c r="M912" s="37">
        <v>5244041.12</v>
      </c>
      <c r="N912" s="37"/>
      <c r="O912" s="37"/>
      <c r="P912" s="37"/>
      <c r="Q912" s="37">
        <v>5244041.12</v>
      </c>
      <c r="R912" s="29">
        <f t="shared" si="68"/>
        <v>2042.708444998442</v>
      </c>
      <c r="S912" s="29">
        <v>14736.15</v>
      </c>
      <c r="T912" s="29" t="s">
        <v>1359</v>
      </c>
      <c r="U912" s="118">
        <v>6.3</v>
      </c>
      <c r="V912" s="296">
        <v>2020</v>
      </c>
    </row>
    <row r="913" spans="1:22" ht="45">
      <c r="A913" s="70">
        <v>135</v>
      </c>
      <c r="B913" s="99" t="s">
        <v>296</v>
      </c>
      <c r="C913" s="35">
        <v>1968</v>
      </c>
      <c r="D913" s="29"/>
      <c r="E913" s="35" t="s">
        <v>494</v>
      </c>
      <c r="F913" s="35">
        <v>5</v>
      </c>
      <c r="G913" s="35">
        <v>4</v>
      </c>
      <c r="H913" s="37">
        <v>3513.6</v>
      </c>
      <c r="I913" s="37">
        <v>3513.6</v>
      </c>
      <c r="J913" s="37">
        <v>3242</v>
      </c>
      <c r="K913" s="36">
        <v>193</v>
      </c>
      <c r="L913" s="24" t="s">
        <v>701</v>
      </c>
      <c r="M913" s="37">
        <v>2087405.52</v>
      </c>
      <c r="N913" s="37"/>
      <c r="O913" s="37"/>
      <c r="P913" s="37"/>
      <c r="Q913" s="37">
        <v>2087405.52</v>
      </c>
      <c r="R913" s="29">
        <f t="shared" si="68"/>
        <v>594.0931010928962</v>
      </c>
      <c r="S913" s="29">
        <v>14736.15</v>
      </c>
      <c r="T913" s="29" t="s">
        <v>1359</v>
      </c>
      <c r="U913" s="118">
        <v>6.3</v>
      </c>
      <c r="V913" s="296">
        <v>2020</v>
      </c>
    </row>
    <row r="914" spans="1:22" ht="45">
      <c r="A914" s="70">
        <v>136</v>
      </c>
      <c r="B914" s="99" t="s">
        <v>1129</v>
      </c>
      <c r="C914" s="35">
        <v>1967</v>
      </c>
      <c r="D914" s="29"/>
      <c r="E914" s="35" t="s">
        <v>374</v>
      </c>
      <c r="F914" s="35">
        <v>5</v>
      </c>
      <c r="G914" s="35">
        <v>6</v>
      </c>
      <c r="H914" s="37">
        <v>4677.2</v>
      </c>
      <c r="I914" s="37">
        <v>4677.2</v>
      </c>
      <c r="J914" s="37">
        <v>4101.1</v>
      </c>
      <c r="K914" s="36">
        <v>294</v>
      </c>
      <c r="L914" s="24" t="s">
        <v>721</v>
      </c>
      <c r="M914" s="37">
        <v>1058087.01</v>
      </c>
      <c r="N914" s="37"/>
      <c r="O914" s="37"/>
      <c r="P914" s="37"/>
      <c r="Q914" s="37">
        <v>1058087.01</v>
      </c>
      <c r="R914" s="29">
        <f t="shared" si="68"/>
        <v>226.22231463268622</v>
      </c>
      <c r="S914" s="29">
        <v>14736.15</v>
      </c>
      <c r="T914" s="29" t="s">
        <v>1359</v>
      </c>
      <c r="U914" s="118">
        <v>6.3</v>
      </c>
      <c r="V914" s="296">
        <v>2020</v>
      </c>
    </row>
    <row r="915" spans="1:22" ht="105">
      <c r="A915" s="70">
        <v>137</v>
      </c>
      <c r="B915" s="99" t="s">
        <v>1123</v>
      </c>
      <c r="C915" s="35">
        <v>1967</v>
      </c>
      <c r="D915" s="29"/>
      <c r="E915" s="35" t="s">
        <v>374</v>
      </c>
      <c r="F915" s="35">
        <v>5</v>
      </c>
      <c r="G915" s="35">
        <v>2</v>
      </c>
      <c r="H915" s="37">
        <v>4805.1</v>
      </c>
      <c r="I915" s="37">
        <v>4805.1</v>
      </c>
      <c r="J915" s="37">
        <v>4391.8</v>
      </c>
      <c r="K915" s="36">
        <v>277</v>
      </c>
      <c r="L915" s="24" t="s">
        <v>1555</v>
      </c>
      <c r="M915" s="37">
        <v>4430954.35</v>
      </c>
      <c r="N915" s="37"/>
      <c r="O915" s="37"/>
      <c r="P915" s="37"/>
      <c r="Q915" s="37">
        <v>4430954.35</v>
      </c>
      <c r="R915" s="29">
        <f t="shared" si="68"/>
        <v>922.135720380429</v>
      </c>
      <c r="S915" s="29">
        <v>14736.15</v>
      </c>
      <c r="T915" s="29" t="s">
        <v>1359</v>
      </c>
      <c r="U915" s="118">
        <v>6.3</v>
      </c>
      <c r="V915" s="296">
        <v>2020</v>
      </c>
    </row>
    <row r="916" spans="1:22" ht="195">
      <c r="A916" s="70">
        <v>138</v>
      </c>
      <c r="B916" s="120" t="s">
        <v>1124</v>
      </c>
      <c r="C916" s="35">
        <v>1966</v>
      </c>
      <c r="D916" s="29"/>
      <c r="E916" s="35" t="s">
        <v>374</v>
      </c>
      <c r="F916" s="35">
        <v>5</v>
      </c>
      <c r="G916" s="35">
        <v>8</v>
      </c>
      <c r="H916" s="37">
        <v>5978.4</v>
      </c>
      <c r="I916" s="37">
        <v>5978.4</v>
      </c>
      <c r="J916" s="37">
        <v>5592.4</v>
      </c>
      <c r="K916" s="36">
        <v>315</v>
      </c>
      <c r="L916" s="24" t="s">
        <v>855</v>
      </c>
      <c r="M916" s="37">
        <v>11515904.94</v>
      </c>
      <c r="N916" s="37"/>
      <c r="O916" s="37"/>
      <c r="P916" s="37"/>
      <c r="Q916" s="37">
        <v>11515904.94</v>
      </c>
      <c r="R916" s="29">
        <f t="shared" si="68"/>
        <v>1926.2519971898837</v>
      </c>
      <c r="S916" s="29">
        <v>14736.15</v>
      </c>
      <c r="T916" s="29" t="s">
        <v>1359</v>
      </c>
      <c r="U916" s="118">
        <v>6.3</v>
      </c>
      <c r="V916" s="296">
        <v>2020</v>
      </c>
    </row>
    <row r="917" spans="1:22" ht="45">
      <c r="A917" s="70">
        <v>139</v>
      </c>
      <c r="B917" s="99" t="s">
        <v>1125</v>
      </c>
      <c r="C917" s="35">
        <v>1966</v>
      </c>
      <c r="D917" s="29"/>
      <c r="E917" s="35" t="s">
        <v>374</v>
      </c>
      <c r="F917" s="35">
        <v>5</v>
      </c>
      <c r="G917" s="35">
        <v>8</v>
      </c>
      <c r="H917" s="37">
        <v>5930.6</v>
      </c>
      <c r="I917" s="37">
        <v>5930.6</v>
      </c>
      <c r="J917" s="37">
        <v>5517.5</v>
      </c>
      <c r="K917" s="36">
        <v>327</v>
      </c>
      <c r="L917" s="24" t="s">
        <v>384</v>
      </c>
      <c r="M917" s="37">
        <v>3243196.4</v>
      </c>
      <c r="N917" s="37"/>
      <c r="O917" s="37"/>
      <c r="P917" s="37"/>
      <c r="Q917" s="37">
        <v>3243196.4</v>
      </c>
      <c r="R917" s="29">
        <f t="shared" si="68"/>
        <v>546.8580582065895</v>
      </c>
      <c r="S917" s="29">
        <v>14736.15</v>
      </c>
      <c r="T917" s="29" t="s">
        <v>1359</v>
      </c>
      <c r="U917" s="118">
        <v>6.3</v>
      </c>
      <c r="V917" s="296">
        <v>2020</v>
      </c>
    </row>
    <row r="918" spans="1:22" ht="195">
      <c r="A918" s="70">
        <v>140</v>
      </c>
      <c r="B918" s="99" t="s">
        <v>1126</v>
      </c>
      <c r="C918" s="35">
        <v>1970</v>
      </c>
      <c r="D918" s="29"/>
      <c r="E918" s="35" t="s">
        <v>494</v>
      </c>
      <c r="F918" s="35">
        <v>5</v>
      </c>
      <c r="G918" s="35">
        <v>7</v>
      </c>
      <c r="H918" s="37">
        <v>6068.3</v>
      </c>
      <c r="I918" s="37">
        <v>6068.3</v>
      </c>
      <c r="J918" s="37">
        <v>5407.5</v>
      </c>
      <c r="K918" s="36">
        <v>339</v>
      </c>
      <c r="L918" s="24" t="s">
        <v>856</v>
      </c>
      <c r="M918" s="37">
        <v>12701898.9</v>
      </c>
      <c r="N918" s="37"/>
      <c r="O918" s="37"/>
      <c r="P918" s="37"/>
      <c r="Q918" s="37">
        <v>12701898.9</v>
      </c>
      <c r="R918" s="29">
        <f t="shared" si="68"/>
        <v>2093.1560568857835</v>
      </c>
      <c r="S918" s="29">
        <v>14736.15</v>
      </c>
      <c r="T918" s="29" t="s">
        <v>1359</v>
      </c>
      <c r="U918" s="118">
        <v>6.3</v>
      </c>
      <c r="V918" s="296">
        <v>2020</v>
      </c>
    </row>
    <row r="919" spans="1:22" ht="195">
      <c r="A919" s="70">
        <v>141</v>
      </c>
      <c r="B919" s="120" t="s">
        <v>1127</v>
      </c>
      <c r="C919" s="35">
        <v>1967</v>
      </c>
      <c r="D919" s="29"/>
      <c r="E919" s="35" t="s">
        <v>374</v>
      </c>
      <c r="F919" s="35">
        <v>5</v>
      </c>
      <c r="G919" s="35">
        <v>2</v>
      </c>
      <c r="H919" s="37">
        <v>1891.6</v>
      </c>
      <c r="I919" s="37">
        <v>1891.6</v>
      </c>
      <c r="J919" s="37">
        <v>1673.4</v>
      </c>
      <c r="K919" s="36">
        <v>91</v>
      </c>
      <c r="L919" s="24" t="s">
        <v>856</v>
      </c>
      <c r="M919" s="37">
        <v>4504919.59</v>
      </c>
      <c r="N919" s="37"/>
      <c r="O919" s="37"/>
      <c r="P919" s="37"/>
      <c r="Q919" s="37">
        <v>4504919.59</v>
      </c>
      <c r="R919" s="29">
        <f t="shared" si="68"/>
        <v>2381.5392207654895</v>
      </c>
      <c r="S919" s="29">
        <v>14736.15</v>
      </c>
      <c r="T919" s="29" t="s">
        <v>1359</v>
      </c>
      <c r="U919" s="118">
        <v>6.3</v>
      </c>
      <c r="V919" s="296">
        <v>2020</v>
      </c>
    </row>
    <row r="920" spans="1:22" ht="120">
      <c r="A920" s="70">
        <v>142</v>
      </c>
      <c r="B920" s="99" t="s">
        <v>1128</v>
      </c>
      <c r="C920" s="35">
        <v>1966</v>
      </c>
      <c r="D920" s="29"/>
      <c r="E920" s="35" t="s">
        <v>374</v>
      </c>
      <c r="F920" s="35">
        <v>5</v>
      </c>
      <c r="G920" s="35">
        <v>1</v>
      </c>
      <c r="H920" s="37">
        <v>4665.04</v>
      </c>
      <c r="I920" s="37">
        <v>4665.04</v>
      </c>
      <c r="J920" s="37">
        <v>4240.2</v>
      </c>
      <c r="K920" s="36">
        <v>230</v>
      </c>
      <c r="L920" s="24" t="s">
        <v>857</v>
      </c>
      <c r="M920" s="37">
        <v>5377808.26</v>
      </c>
      <c r="N920" s="37"/>
      <c r="O920" s="37"/>
      <c r="P920" s="37"/>
      <c r="Q920" s="37">
        <v>5377808.26</v>
      </c>
      <c r="R920" s="29">
        <f t="shared" si="68"/>
        <v>1152.7893137036338</v>
      </c>
      <c r="S920" s="29">
        <v>14736.15</v>
      </c>
      <c r="T920" s="29" t="s">
        <v>1359</v>
      </c>
      <c r="U920" s="118">
        <v>6.3</v>
      </c>
      <c r="V920" s="296">
        <v>2020</v>
      </c>
    </row>
    <row r="921" spans="1:22" ht="195">
      <c r="A921" s="70">
        <v>143</v>
      </c>
      <c r="B921" s="99" t="s">
        <v>1052</v>
      </c>
      <c r="C921" s="35">
        <v>1966</v>
      </c>
      <c r="D921" s="29"/>
      <c r="E921" s="35" t="s">
        <v>494</v>
      </c>
      <c r="F921" s="35">
        <v>5</v>
      </c>
      <c r="G921" s="35">
        <v>3</v>
      </c>
      <c r="H921" s="37">
        <v>2582.5</v>
      </c>
      <c r="I921" s="37">
        <v>2582.5</v>
      </c>
      <c r="J921" s="37">
        <v>2403.7</v>
      </c>
      <c r="K921" s="36">
        <v>154</v>
      </c>
      <c r="L921" s="24" t="s">
        <v>858</v>
      </c>
      <c r="M921" s="37">
        <v>4803741.3</v>
      </c>
      <c r="N921" s="37"/>
      <c r="O921" s="37"/>
      <c r="P921" s="37"/>
      <c r="Q921" s="37">
        <v>4803741.3</v>
      </c>
      <c r="R921" s="29">
        <f t="shared" si="68"/>
        <v>1860.1127976766697</v>
      </c>
      <c r="S921" s="29">
        <v>14736.15</v>
      </c>
      <c r="T921" s="29" t="s">
        <v>1359</v>
      </c>
      <c r="U921" s="118">
        <v>6.3</v>
      </c>
      <c r="V921" s="296">
        <v>2020</v>
      </c>
    </row>
    <row r="922" spans="1:22" ht="45">
      <c r="A922" s="70">
        <v>144</v>
      </c>
      <c r="B922" s="117" t="s">
        <v>41</v>
      </c>
      <c r="C922" s="35">
        <v>1980</v>
      </c>
      <c r="D922" s="29"/>
      <c r="E922" s="35" t="s">
        <v>494</v>
      </c>
      <c r="F922" s="35">
        <v>9</v>
      </c>
      <c r="G922" s="35">
        <v>6</v>
      </c>
      <c r="H922" s="37">
        <f>11570.5+1386</f>
        <v>12956.5</v>
      </c>
      <c r="I922" s="37">
        <v>11570.5</v>
      </c>
      <c r="J922" s="37">
        <v>7053</v>
      </c>
      <c r="K922" s="36">
        <v>592</v>
      </c>
      <c r="L922" s="24" t="s">
        <v>489</v>
      </c>
      <c r="M922" s="163">
        <v>2884825.77</v>
      </c>
      <c r="N922" s="28"/>
      <c r="O922" s="28"/>
      <c r="P922" s="28"/>
      <c r="Q922" s="17">
        <v>2884825.77</v>
      </c>
      <c r="R922" s="29">
        <f t="shared" si="68"/>
        <v>249.32593837777105</v>
      </c>
      <c r="S922" s="29">
        <v>14736.15</v>
      </c>
      <c r="T922" s="29" t="s">
        <v>1359</v>
      </c>
      <c r="U922" s="118">
        <v>6.3</v>
      </c>
      <c r="V922" s="296">
        <v>2020</v>
      </c>
    </row>
    <row r="923" spans="1:22" ht="82.5" customHeight="1">
      <c r="A923" s="70">
        <v>145</v>
      </c>
      <c r="B923" s="117" t="s">
        <v>541</v>
      </c>
      <c r="C923" s="35">
        <v>1993</v>
      </c>
      <c r="D923" s="29"/>
      <c r="E923" s="35" t="s">
        <v>494</v>
      </c>
      <c r="F923" s="35">
        <v>10</v>
      </c>
      <c r="G923" s="35">
        <v>4</v>
      </c>
      <c r="H923" s="37">
        <f>8604.02+1103</f>
        <v>9707.02</v>
      </c>
      <c r="I923" s="37">
        <v>8604.02</v>
      </c>
      <c r="J923" s="37">
        <v>5173.49</v>
      </c>
      <c r="K923" s="36">
        <v>438</v>
      </c>
      <c r="L923" s="24" t="s">
        <v>1346</v>
      </c>
      <c r="M923" s="163">
        <v>7163531.81</v>
      </c>
      <c r="N923" s="28"/>
      <c r="O923" s="28"/>
      <c r="P923" s="28"/>
      <c r="Q923" s="17">
        <v>7163531.81</v>
      </c>
      <c r="R923" s="29">
        <f t="shared" si="68"/>
        <v>832.5796325438573</v>
      </c>
      <c r="S923" s="29">
        <v>14736.15</v>
      </c>
      <c r="T923" s="29" t="s">
        <v>1359</v>
      </c>
      <c r="U923" s="118">
        <v>6.3</v>
      </c>
      <c r="V923" s="296">
        <v>2020</v>
      </c>
    </row>
    <row r="924" spans="1:22" ht="45">
      <c r="A924" s="70">
        <v>146</v>
      </c>
      <c r="B924" s="169" t="s">
        <v>1657</v>
      </c>
      <c r="C924" s="35">
        <v>1962</v>
      </c>
      <c r="D924" s="29"/>
      <c r="E924" s="35" t="s">
        <v>374</v>
      </c>
      <c r="F924" s="35">
        <v>4</v>
      </c>
      <c r="G924" s="35">
        <v>2</v>
      </c>
      <c r="H924" s="37">
        <f>1263.3+99.2</f>
        <v>1362.5</v>
      </c>
      <c r="I924" s="37">
        <v>1263.3</v>
      </c>
      <c r="J924" s="37">
        <v>1182.3</v>
      </c>
      <c r="K924" s="36">
        <v>76</v>
      </c>
      <c r="L924" s="24" t="s">
        <v>149</v>
      </c>
      <c r="M924" s="163">
        <v>2443368.08</v>
      </c>
      <c r="N924" s="28"/>
      <c r="O924" s="28"/>
      <c r="P924" s="28"/>
      <c r="Q924" s="17">
        <v>2443368.08</v>
      </c>
      <c r="R924" s="29">
        <f t="shared" si="68"/>
        <v>1934.1154753423575</v>
      </c>
      <c r="S924" s="29">
        <v>14736.15</v>
      </c>
      <c r="T924" s="29" t="s">
        <v>1359</v>
      </c>
      <c r="U924" s="118">
        <v>6.3</v>
      </c>
      <c r="V924" s="296">
        <v>2020</v>
      </c>
    </row>
    <row r="925" spans="1:22" ht="120">
      <c r="A925" s="70">
        <v>147</v>
      </c>
      <c r="B925" s="117" t="s">
        <v>756</v>
      </c>
      <c r="C925" s="35">
        <v>1970</v>
      </c>
      <c r="D925" s="29"/>
      <c r="E925" s="35" t="s">
        <v>494</v>
      </c>
      <c r="F925" s="35">
        <v>5</v>
      </c>
      <c r="G925" s="35">
        <v>4</v>
      </c>
      <c r="H925" s="37">
        <f>3604.1+256</f>
        <v>3860.1</v>
      </c>
      <c r="I925" s="37">
        <v>3604.1</v>
      </c>
      <c r="J925" s="37">
        <v>3333.1</v>
      </c>
      <c r="K925" s="36">
        <v>203</v>
      </c>
      <c r="L925" s="24" t="s">
        <v>859</v>
      </c>
      <c r="M925" s="163">
        <v>2098442.92</v>
      </c>
      <c r="N925" s="28"/>
      <c r="O925" s="28"/>
      <c r="P925" s="28"/>
      <c r="Q925" s="17">
        <v>2098442.92</v>
      </c>
      <c r="R925" s="29">
        <f t="shared" si="68"/>
        <v>582.2377070558531</v>
      </c>
      <c r="S925" s="29">
        <v>14736.15</v>
      </c>
      <c r="T925" s="29" t="s">
        <v>1359</v>
      </c>
      <c r="U925" s="118">
        <v>6.3</v>
      </c>
      <c r="V925" s="296">
        <v>2020</v>
      </c>
    </row>
    <row r="926" spans="1:22" ht="180">
      <c r="A926" s="70">
        <v>148</v>
      </c>
      <c r="B926" s="117" t="s">
        <v>1658</v>
      </c>
      <c r="C926" s="35">
        <v>1974</v>
      </c>
      <c r="D926" s="29"/>
      <c r="E926" s="35" t="s">
        <v>494</v>
      </c>
      <c r="F926" s="35">
        <v>5</v>
      </c>
      <c r="G926" s="35">
        <v>5</v>
      </c>
      <c r="H926" s="37">
        <f>3035.7+346</f>
        <v>3381.7</v>
      </c>
      <c r="I926" s="37">
        <v>3035.7</v>
      </c>
      <c r="J926" s="37">
        <v>2775.3</v>
      </c>
      <c r="K926" s="36">
        <v>172</v>
      </c>
      <c r="L926" s="24" t="s">
        <v>860</v>
      </c>
      <c r="M926" s="163">
        <v>7047759.96</v>
      </c>
      <c r="N926" s="28"/>
      <c r="O926" s="28"/>
      <c r="P926" s="28"/>
      <c r="Q926" s="17">
        <v>7047759.96</v>
      </c>
      <c r="R926" s="29">
        <f t="shared" si="68"/>
        <v>2321.625970945746</v>
      </c>
      <c r="S926" s="29">
        <v>14736.15</v>
      </c>
      <c r="T926" s="29" t="s">
        <v>1359</v>
      </c>
      <c r="U926" s="118">
        <v>6.3</v>
      </c>
      <c r="V926" s="296">
        <v>2020</v>
      </c>
    </row>
    <row r="927" spans="1:22" ht="45">
      <c r="A927" s="70">
        <v>149</v>
      </c>
      <c r="B927" s="117" t="s">
        <v>1659</v>
      </c>
      <c r="C927" s="35">
        <v>1977</v>
      </c>
      <c r="D927" s="29"/>
      <c r="E927" s="35" t="s">
        <v>494</v>
      </c>
      <c r="F927" s="35">
        <v>5</v>
      </c>
      <c r="G927" s="35">
        <v>4</v>
      </c>
      <c r="H927" s="37">
        <f>3292.2+239</f>
        <v>3531.2</v>
      </c>
      <c r="I927" s="37">
        <v>3292.2</v>
      </c>
      <c r="J927" s="37">
        <v>2903.8</v>
      </c>
      <c r="K927" s="36">
        <v>143</v>
      </c>
      <c r="L927" s="24" t="s">
        <v>489</v>
      </c>
      <c r="M927" s="163">
        <v>1476270.15</v>
      </c>
      <c r="N927" s="28"/>
      <c r="O927" s="28"/>
      <c r="P927" s="28"/>
      <c r="Q927" s="17">
        <v>1476270.15</v>
      </c>
      <c r="R927" s="29">
        <f t="shared" si="68"/>
        <v>448.4144796792418</v>
      </c>
      <c r="S927" s="29">
        <v>14736.15</v>
      </c>
      <c r="T927" s="29" t="s">
        <v>1359</v>
      </c>
      <c r="U927" s="118">
        <v>6.3</v>
      </c>
      <c r="V927" s="296">
        <v>2020</v>
      </c>
    </row>
    <row r="928" spans="1:22" ht="105">
      <c r="A928" s="70">
        <v>150</v>
      </c>
      <c r="B928" s="117" t="s">
        <v>371</v>
      </c>
      <c r="C928" s="35">
        <v>1971</v>
      </c>
      <c r="D928" s="29"/>
      <c r="E928" s="35" t="s">
        <v>374</v>
      </c>
      <c r="F928" s="35">
        <v>9</v>
      </c>
      <c r="G928" s="35">
        <v>1</v>
      </c>
      <c r="H928" s="37">
        <v>2144.4</v>
      </c>
      <c r="I928" s="37">
        <v>2144.4</v>
      </c>
      <c r="J928" s="37">
        <v>2144.4</v>
      </c>
      <c r="K928" s="36">
        <v>78</v>
      </c>
      <c r="L928" s="24" t="s">
        <v>1146</v>
      </c>
      <c r="M928" s="163">
        <v>2552214.82</v>
      </c>
      <c r="N928" s="28"/>
      <c r="O928" s="28"/>
      <c r="P928" s="28"/>
      <c r="Q928" s="17">
        <v>2552214.82</v>
      </c>
      <c r="R928" s="29">
        <f t="shared" si="68"/>
        <v>1190.1766554747248</v>
      </c>
      <c r="S928" s="29">
        <v>14736.15</v>
      </c>
      <c r="T928" s="29" t="s">
        <v>1359</v>
      </c>
      <c r="U928" s="118">
        <v>6.3</v>
      </c>
      <c r="V928" s="296">
        <v>2020</v>
      </c>
    </row>
    <row r="929" spans="1:22" ht="45">
      <c r="A929" s="70">
        <v>151</v>
      </c>
      <c r="B929" s="117" t="s">
        <v>174</v>
      </c>
      <c r="C929" s="35">
        <v>1964</v>
      </c>
      <c r="D929" s="29"/>
      <c r="E929" s="35" t="s">
        <v>374</v>
      </c>
      <c r="F929" s="35">
        <v>4</v>
      </c>
      <c r="G929" s="35">
        <v>6</v>
      </c>
      <c r="H929" s="37">
        <f>3861.6+296</f>
        <v>4157.6</v>
      </c>
      <c r="I929" s="37">
        <v>3861.6</v>
      </c>
      <c r="J929" s="37">
        <v>3483.5</v>
      </c>
      <c r="K929" s="36">
        <v>230</v>
      </c>
      <c r="L929" s="24" t="s">
        <v>489</v>
      </c>
      <c r="M929" s="163">
        <v>5539394.57</v>
      </c>
      <c r="N929" s="28"/>
      <c r="O929" s="28"/>
      <c r="P929" s="28"/>
      <c r="Q929" s="17">
        <v>5539394.57</v>
      </c>
      <c r="R929" s="29">
        <f t="shared" si="68"/>
        <v>1434.4817096540296</v>
      </c>
      <c r="S929" s="29">
        <v>14736.15</v>
      </c>
      <c r="T929" s="29" t="s">
        <v>1359</v>
      </c>
      <c r="U929" s="118">
        <v>6.3</v>
      </c>
      <c r="V929" s="296">
        <v>2020</v>
      </c>
    </row>
    <row r="930" spans="1:22" ht="15">
      <c r="A930" s="70"/>
      <c r="B930" s="112" t="s">
        <v>869</v>
      </c>
      <c r="C930" s="24"/>
      <c r="D930" s="24"/>
      <c r="E930" s="24"/>
      <c r="F930" s="24"/>
      <c r="G930" s="24"/>
      <c r="H930" s="81">
        <f>SUM(H906:H929)</f>
        <v>106592.06000000001</v>
      </c>
      <c r="I930" s="81">
        <f>SUM(I906:I929)</f>
        <v>102864.56</v>
      </c>
      <c r="J930" s="81">
        <f>SUM(J906:J929)</f>
        <v>85858.09000000001</v>
      </c>
      <c r="K930" s="98">
        <f>SUM(K906:K929)</f>
        <v>5555</v>
      </c>
      <c r="L930" s="81"/>
      <c r="M930" s="81">
        <f>SUM(M906:M929)</f>
        <v>122917443.04999998</v>
      </c>
      <c r="N930" s="81"/>
      <c r="O930" s="81"/>
      <c r="P930" s="81"/>
      <c r="Q930" s="81">
        <f>SUM(Q906:Q929)</f>
        <v>122917443.04999998</v>
      </c>
      <c r="R930" s="96">
        <f t="shared" si="68"/>
        <v>1194.944527541847</v>
      </c>
      <c r="S930" s="29"/>
      <c r="T930" s="76"/>
      <c r="U930" s="175"/>
      <c r="V930" s="296"/>
    </row>
    <row r="931" spans="1:22" ht="15">
      <c r="A931" s="300" t="s">
        <v>74</v>
      </c>
      <c r="B931" s="301"/>
      <c r="C931" s="301"/>
      <c r="D931" s="301"/>
      <c r="E931" s="301"/>
      <c r="F931" s="301"/>
      <c r="G931" s="301"/>
      <c r="H931" s="301"/>
      <c r="I931" s="301"/>
      <c r="J931" s="301"/>
      <c r="K931" s="301"/>
      <c r="L931" s="301"/>
      <c r="M931" s="301"/>
      <c r="N931" s="301"/>
      <c r="O931" s="301"/>
      <c r="P931" s="301"/>
      <c r="Q931" s="302"/>
      <c r="R931" s="301"/>
      <c r="S931" s="301"/>
      <c r="T931" s="301"/>
      <c r="U931" s="303"/>
      <c r="V931" s="296"/>
    </row>
    <row r="932" spans="1:22" ht="45">
      <c r="A932" s="70">
        <v>152</v>
      </c>
      <c r="B932" s="99" t="s">
        <v>1130</v>
      </c>
      <c r="C932" s="35">
        <v>1973</v>
      </c>
      <c r="D932" s="29"/>
      <c r="E932" s="29" t="s">
        <v>374</v>
      </c>
      <c r="F932" s="35">
        <v>5</v>
      </c>
      <c r="G932" s="35">
        <v>4</v>
      </c>
      <c r="H932" s="37">
        <v>3415.92</v>
      </c>
      <c r="I932" s="37">
        <v>3067.52</v>
      </c>
      <c r="J932" s="37">
        <v>2933.92</v>
      </c>
      <c r="K932" s="36">
        <v>126</v>
      </c>
      <c r="L932" s="29" t="s">
        <v>503</v>
      </c>
      <c r="M932" s="37">
        <v>4324465.42</v>
      </c>
      <c r="N932" s="37"/>
      <c r="O932" s="37"/>
      <c r="P932" s="37"/>
      <c r="Q932" s="37">
        <v>4324465.42</v>
      </c>
      <c r="R932" s="29">
        <f aca="true" t="shared" si="69" ref="R932:R937">M932/I932</f>
        <v>1409.7594864907155</v>
      </c>
      <c r="S932" s="29">
        <v>14736.15</v>
      </c>
      <c r="T932" s="29" t="s">
        <v>1359</v>
      </c>
      <c r="U932" s="118">
        <v>6.3</v>
      </c>
      <c r="V932" s="296">
        <v>2020</v>
      </c>
    </row>
    <row r="933" spans="1:22" ht="60">
      <c r="A933" s="70">
        <v>153</v>
      </c>
      <c r="B933" s="99" t="s">
        <v>829</v>
      </c>
      <c r="C933" s="35">
        <v>1963</v>
      </c>
      <c r="D933" s="35">
        <v>2008</v>
      </c>
      <c r="E933" s="29" t="s">
        <v>374</v>
      </c>
      <c r="F933" s="35">
        <v>4</v>
      </c>
      <c r="G933" s="35">
        <v>3</v>
      </c>
      <c r="H933" s="37">
        <v>2658.89</v>
      </c>
      <c r="I933" s="37">
        <v>2433.99</v>
      </c>
      <c r="J933" s="37">
        <v>1842.67</v>
      </c>
      <c r="K933" s="36">
        <v>68</v>
      </c>
      <c r="L933" s="29" t="s">
        <v>702</v>
      </c>
      <c r="M933" s="37">
        <v>6003583.53</v>
      </c>
      <c r="N933" s="37"/>
      <c r="O933" s="37"/>
      <c r="P933" s="37"/>
      <c r="Q933" s="37">
        <v>6003583.53</v>
      </c>
      <c r="R933" s="29">
        <f t="shared" si="69"/>
        <v>2466.5604747759853</v>
      </c>
      <c r="S933" s="29">
        <v>14736.15</v>
      </c>
      <c r="T933" s="29" t="s">
        <v>1359</v>
      </c>
      <c r="U933" s="118">
        <v>6.3</v>
      </c>
      <c r="V933" s="296">
        <v>2020</v>
      </c>
    </row>
    <row r="934" spans="1:22" ht="75">
      <c r="A934" s="70">
        <v>154</v>
      </c>
      <c r="B934" s="99" t="s">
        <v>830</v>
      </c>
      <c r="C934" s="35">
        <v>1979</v>
      </c>
      <c r="D934" s="29"/>
      <c r="E934" s="29" t="s">
        <v>374</v>
      </c>
      <c r="F934" s="35">
        <v>5</v>
      </c>
      <c r="G934" s="35">
        <v>2</v>
      </c>
      <c r="H934" s="37">
        <v>1922.6</v>
      </c>
      <c r="I934" s="37">
        <v>1769.6</v>
      </c>
      <c r="J934" s="37">
        <v>1599.6</v>
      </c>
      <c r="K934" s="36">
        <v>75</v>
      </c>
      <c r="L934" s="29" t="s">
        <v>1590</v>
      </c>
      <c r="M934" s="37">
        <v>3063061.02</v>
      </c>
      <c r="N934" s="37"/>
      <c r="O934" s="37"/>
      <c r="P934" s="37"/>
      <c r="Q934" s="37">
        <v>3063061.02</v>
      </c>
      <c r="R934" s="29">
        <f t="shared" si="69"/>
        <v>1730.9341207052441</v>
      </c>
      <c r="S934" s="29">
        <v>14736.15</v>
      </c>
      <c r="T934" s="29" t="s">
        <v>1359</v>
      </c>
      <c r="U934" s="118">
        <v>6.3</v>
      </c>
      <c r="V934" s="296">
        <v>2020</v>
      </c>
    </row>
    <row r="935" spans="1:22" ht="45">
      <c r="A935" s="70">
        <v>155</v>
      </c>
      <c r="B935" s="99" t="s">
        <v>831</v>
      </c>
      <c r="C935" s="35">
        <v>1963</v>
      </c>
      <c r="D935" s="35">
        <v>2016</v>
      </c>
      <c r="E935" s="29" t="s">
        <v>374</v>
      </c>
      <c r="F935" s="35">
        <v>4</v>
      </c>
      <c r="G935" s="35">
        <v>2</v>
      </c>
      <c r="H935" s="37">
        <v>1347.16</v>
      </c>
      <c r="I935" s="37">
        <v>1248.56</v>
      </c>
      <c r="J935" s="37">
        <v>865.56</v>
      </c>
      <c r="K935" s="36">
        <v>56</v>
      </c>
      <c r="L935" s="29" t="s">
        <v>1069</v>
      </c>
      <c r="M935" s="37">
        <v>1474925.6</v>
      </c>
      <c r="N935" s="37"/>
      <c r="O935" s="37"/>
      <c r="P935" s="37"/>
      <c r="Q935" s="37">
        <v>1474925.6</v>
      </c>
      <c r="R935" s="29">
        <f t="shared" si="69"/>
        <v>1181.3013391426925</v>
      </c>
      <c r="S935" s="29">
        <v>14736.15</v>
      </c>
      <c r="T935" s="29" t="s">
        <v>1359</v>
      </c>
      <c r="U935" s="118">
        <v>6.3</v>
      </c>
      <c r="V935" s="296">
        <v>2020</v>
      </c>
    </row>
    <row r="936" spans="1:22" ht="60">
      <c r="A936" s="70">
        <v>156</v>
      </c>
      <c r="B936" s="99" t="s">
        <v>832</v>
      </c>
      <c r="C936" s="35">
        <v>1967</v>
      </c>
      <c r="D936" s="29"/>
      <c r="E936" s="29" t="s">
        <v>374</v>
      </c>
      <c r="F936" s="35">
        <v>4</v>
      </c>
      <c r="G936" s="35">
        <v>3</v>
      </c>
      <c r="H936" s="37">
        <v>2308.64</v>
      </c>
      <c r="I936" s="37">
        <v>1888.64</v>
      </c>
      <c r="J936" s="37">
        <v>1714.34</v>
      </c>
      <c r="K936" s="36">
        <v>63</v>
      </c>
      <c r="L936" s="29" t="s">
        <v>1047</v>
      </c>
      <c r="M936" s="37">
        <v>6750418</v>
      </c>
      <c r="N936" s="37"/>
      <c r="O936" s="37"/>
      <c r="P936" s="37"/>
      <c r="Q936" s="37">
        <v>6750418</v>
      </c>
      <c r="R936" s="29">
        <f t="shared" si="69"/>
        <v>3574.221662148424</v>
      </c>
      <c r="S936" s="29">
        <v>14736.15</v>
      </c>
      <c r="T936" s="29" t="s">
        <v>1359</v>
      </c>
      <c r="U936" s="118">
        <v>6.3</v>
      </c>
      <c r="V936" s="296">
        <v>2020</v>
      </c>
    </row>
    <row r="937" spans="1:22" ht="15">
      <c r="A937" s="70"/>
      <c r="B937" s="112" t="s">
        <v>1244</v>
      </c>
      <c r="C937" s="187"/>
      <c r="D937" s="187"/>
      <c r="E937" s="105"/>
      <c r="F937" s="187"/>
      <c r="G937" s="187"/>
      <c r="H937" s="81">
        <f>SUM(H932:H936)</f>
        <v>11653.21</v>
      </c>
      <c r="I937" s="81">
        <f aca="true" t="shared" si="70" ref="I937:Q937">SUM(I932:I936)</f>
        <v>10408.31</v>
      </c>
      <c r="J937" s="81">
        <f t="shared" si="70"/>
        <v>8956.09</v>
      </c>
      <c r="K937" s="98">
        <f t="shared" si="70"/>
        <v>388</v>
      </c>
      <c r="L937" s="81"/>
      <c r="M937" s="81">
        <f t="shared" si="70"/>
        <v>21616453.57</v>
      </c>
      <c r="N937" s="81"/>
      <c r="O937" s="81"/>
      <c r="P937" s="81"/>
      <c r="Q937" s="81">
        <f t="shared" si="70"/>
        <v>21616453.57</v>
      </c>
      <c r="R937" s="96">
        <f t="shared" si="69"/>
        <v>2076.845671391417</v>
      </c>
      <c r="S937" s="29"/>
      <c r="T937" s="76"/>
      <c r="U937" s="175"/>
      <c r="V937" s="296"/>
    </row>
    <row r="938" spans="1:22" ht="15">
      <c r="A938" s="300" t="s">
        <v>1372</v>
      </c>
      <c r="B938" s="301"/>
      <c r="C938" s="301"/>
      <c r="D938" s="301"/>
      <c r="E938" s="301"/>
      <c r="F938" s="301"/>
      <c r="G938" s="301"/>
      <c r="H938" s="301"/>
      <c r="I938" s="301"/>
      <c r="J938" s="301"/>
      <c r="K938" s="301"/>
      <c r="L938" s="301"/>
      <c r="M938" s="301"/>
      <c r="N938" s="301"/>
      <c r="O938" s="301"/>
      <c r="P938" s="301"/>
      <c r="Q938" s="302"/>
      <c r="R938" s="301"/>
      <c r="S938" s="301"/>
      <c r="T938" s="301"/>
      <c r="U938" s="303"/>
      <c r="V938" s="296"/>
    </row>
    <row r="939" spans="1:22" ht="45">
      <c r="A939" s="70">
        <v>157</v>
      </c>
      <c r="B939" s="82" t="s">
        <v>1131</v>
      </c>
      <c r="C939" s="24">
        <v>1960</v>
      </c>
      <c r="D939" s="24">
        <v>2016</v>
      </c>
      <c r="E939" s="29" t="s">
        <v>374</v>
      </c>
      <c r="F939" s="24" t="s">
        <v>1072</v>
      </c>
      <c r="G939" s="24">
        <v>2</v>
      </c>
      <c r="H939" s="37">
        <v>1400.8</v>
      </c>
      <c r="I939" s="37">
        <v>1282.8</v>
      </c>
      <c r="J939" s="37">
        <v>1072</v>
      </c>
      <c r="K939" s="36">
        <v>58</v>
      </c>
      <c r="L939" s="24" t="s">
        <v>503</v>
      </c>
      <c r="M939" s="37">
        <v>2280994.17</v>
      </c>
      <c r="N939" s="37"/>
      <c r="O939" s="37"/>
      <c r="P939" s="37"/>
      <c r="Q939" s="37">
        <v>2280994.17</v>
      </c>
      <c r="R939" s="37">
        <f aca="true" t="shared" si="71" ref="R939:R993">M939/I939</f>
        <v>1778.1370205799813</v>
      </c>
      <c r="S939" s="29">
        <v>14736.15</v>
      </c>
      <c r="T939" s="24" t="s">
        <v>1359</v>
      </c>
      <c r="U939" s="118">
        <v>6.3</v>
      </c>
      <c r="V939" s="296">
        <v>2020</v>
      </c>
    </row>
    <row r="940" spans="1:22" ht="165">
      <c r="A940" s="70">
        <v>158</v>
      </c>
      <c r="B940" s="82" t="s">
        <v>1132</v>
      </c>
      <c r="C940" s="24">
        <v>1960</v>
      </c>
      <c r="D940" s="24"/>
      <c r="E940" s="29" t="s">
        <v>374</v>
      </c>
      <c r="F940" s="24" t="s">
        <v>1072</v>
      </c>
      <c r="G940" s="24">
        <v>2</v>
      </c>
      <c r="H940" s="37">
        <v>1477.8</v>
      </c>
      <c r="I940" s="37">
        <v>1359.8</v>
      </c>
      <c r="J940" s="37">
        <v>1359.8</v>
      </c>
      <c r="K940" s="36">
        <v>72</v>
      </c>
      <c r="L940" s="24" t="s">
        <v>1048</v>
      </c>
      <c r="M940" s="37">
        <v>5087945.06</v>
      </c>
      <c r="N940" s="37"/>
      <c r="O940" s="37"/>
      <c r="P940" s="37"/>
      <c r="Q940" s="37">
        <v>5087945.06</v>
      </c>
      <c r="R940" s="37">
        <f t="shared" si="71"/>
        <v>3741.68632151787</v>
      </c>
      <c r="S940" s="29">
        <v>14736.15</v>
      </c>
      <c r="T940" s="24" t="s">
        <v>1359</v>
      </c>
      <c r="U940" s="118">
        <v>6.3</v>
      </c>
      <c r="V940" s="296">
        <v>2020</v>
      </c>
    </row>
    <row r="941" spans="1:22" ht="120">
      <c r="A941" s="70">
        <v>159</v>
      </c>
      <c r="B941" s="82" t="s">
        <v>1133</v>
      </c>
      <c r="C941" s="24">
        <v>1959</v>
      </c>
      <c r="D941" s="24">
        <v>2015</v>
      </c>
      <c r="E941" s="29" t="s">
        <v>374</v>
      </c>
      <c r="F941" s="24" t="s">
        <v>1072</v>
      </c>
      <c r="G941" s="24">
        <v>4</v>
      </c>
      <c r="H941" s="37">
        <v>2840</v>
      </c>
      <c r="I941" s="37">
        <v>2498</v>
      </c>
      <c r="J941" s="37">
        <v>2498</v>
      </c>
      <c r="K941" s="36">
        <v>88</v>
      </c>
      <c r="L941" s="24" t="s">
        <v>1247</v>
      </c>
      <c r="M941" s="37">
        <v>7327795.67</v>
      </c>
      <c r="N941" s="37"/>
      <c r="O941" s="37"/>
      <c r="P941" s="37"/>
      <c r="Q941" s="37">
        <v>7327795.67</v>
      </c>
      <c r="R941" s="37">
        <f t="shared" si="71"/>
        <v>2933.4650400320256</v>
      </c>
      <c r="S941" s="29">
        <v>14736.15</v>
      </c>
      <c r="T941" s="24" t="s">
        <v>1359</v>
      </c>
      <c r="U941" s="118">
        <v>6.3</v>
      </c>
      <c r="V941" s="296">
        <v>2020</v>
      </c>
    </row>
    <row r="942" spans="1:22" ht="60">
      <c r="A942" s="70">
        <v>160</v>
      </c>
      <c r="B942" s="82" t="s">
        <v>1134</v>
      </c>
      <c r="C942" s="24">
        <v>1963</v>
      </c>
      <c r="D942" s="24"/>
      <c r="E942" s="29" t="s">
        <v>374</v>
      </c>
      <c r="F942" s="24" t="s">
        <v>1072</v>
      </c>
      <c r="G942" s="24">
        <v>2</v>
      </c>
      <c r="H942" s="37">
        <v>1425</v>
      </c>
      <c r="I942" s="37">
        <v>1264</v>
      </c>
      <c r="J942" s="37">
        <v>1264</v>
      </c>
      <c r="K942" s="36">
        <v>77</v>
      </c>
      <c r="L942" s="24" t="s">
        <v>1246</v>
      </c>
      <c r="M942" s="37">
        <v>2602099.14</v>
      </c>
      <c r="N942" s="37"/>
      <c r="O942" s="37"/>
      <c r="P942" s="37"/>
      <c r="Q942" s="37">
        <v>2602099.14</v>
      </c>
      <c r="R942" s="37">
        <f t="shared" si="71"/>
        <v>2058.6227373417723</v>
      </c>
      <c r="S942" s="29">
        <v>14736.15</v>
      </c>
      <c r="T942" s="24" t="s">
        <v>1359</v>
      </c>
      <c r="U942" s="118">
        <v>6.3</v>
      </c>
      <c r="V942" s="296">
        <v>2020</v>
      </c>
    </row>
    <row r="943" spans="1:22" ht="90">
      <c r="A943" s="70">
        <v>161</v>
      </c>
      <c r="B943" s="82" t="s">
        <v>1135</v>
      </c>
      <c r="C943" s="24">
        <v>1965</v>
      </c>
      <c r="D943" s="24">
        <v>2009</v>
      </c>
      <c r="E943" s="29" t="s">
        <v>374</v>
      </c>
      <c r="F943" s="24" t="s">
        <v>1073</v>
      </c>
      <c r="G943" s="24">
        <v>4</v>
      </c>
      <c r="H943" s="37">
        <v>3459.6</v>
      </c>
      <c r="I943" s="37">
        <v>3163.6</v>
      </c>
      <c r="J943" s="37">
        <v>3163.6</v>
      </c>
      <c r="K943" s="36">
        <v>126</v>
      </c>
      <c r="L943" s="24" t="s">
        <v>1474</v>
      </c>
      <c r="M943" s="37">
        <v>4837901.24</v>
      </c>
      <c r="N943" s="37"/>
      <c r="O943" s="37"/>
      <c r="P943" s="37"/>
      <c r="Q943" s="37">
        <v>4837901.24</v>
      </c>
      <c r="R943" s="37">
        <f t="shared" si="71"/>
        <v>1529.2392337842964</v>
      </c>
      <c r="S943" s="29">
        <v>14736.15</v>
      </c>
      <c r="T943" s="24" t="s">
        <v>1359</v>
      </c>
      <c r="U943" s="118">
        <v>6.3</v>
      </c>
      <c r="V943" s="296">
        <v>2020</v>
      </c>
    </row>
    <row r="944" spans="1:22" ht="45">
      <c r="A944" s="70">
        <v>162</v>
      </c>
      <c r="B944" s="82" t="s">
        <v>1053</v>
      </c>
      <c r="C944" s="24">
        <v>1959</v>
      </c>
      <c r="D944" s="24"/>
      <c r="E944" s="29" t="s">
        <v>374</v>
      </c>
      <c r="F944" s="24" t="s">
        <v>1078</v>
      </c>
      <c r="G944" s="24">
        <v>1</v>
      </c>
      <c r="H944" s="37">
        <v>308</v>
      </c>
      <c r="I944" s="37">
        <v>281.1</v>
      </c>
      <c r="J944" s="37">
        <v>250.1</v>
      </c>
      <c r="K944" s="36">
        <v>13</v>
      </c>
      <c r="L944" s="24" t="s">
        <v>489</v>
      </c>
      <c r="M944" s="37">
        <v>907017.96</v>
      </c>
      <c r="N944" s="37"/>
      <c r="O944" s="37"/>
      <c r="P944" s="37"/>
      <c r="Q944" s="37">
        <v>907017.96</v>
      </c>
      <c r="R944" s="37">
        <f t="shared" si="71"/>
        <v>3226.673639274279</v>
      </c>
      <c r="S944" s="29">
        <v>14736.15</v>
      </c>
      <c r="T944" s="24" t="s">
        <v>1359</v>
      </c>
      <c r="U944" s="118">
        <v>6.3</v>
      </c>
      <c r="V944" s="296">
        <v>2020</v>
      </c>
    </row>
    <row r="945" spans="1:22" ht="45">
      <c r="A945" s="70">
        <v>163</v>
      </c>
      <c r="B945" s="82" t="s">
        <v>597</v>
      </c>
      <c r="C945" s="24">
        <v>1974</v>
      </c>
      <c r="D945" s="24">
        <v>2013</v>
      </c>
      <c r="E945" s="29" t="s">
        <v>374</v>
      </c>
      <c r="F945" s="24" t="s">
        <v>1073</v>
      </c>
      <c r="G945" s="24">
        <v>4</v>
      </c>
      <c r="H945" s="37">
        <v>3615.9</v>
      </c>
      <c r="I945" s="37">
        <v>3353.4</v>
      </c>
      <c r="J945" s="37">
        <v>2882.3</v>
      </c>
      <c r="K945" s="36">
        <v>179</v>
      </c>
      <c r="L945" s="24" t="s">
        <v>384</v>
      </c>
      <c r="M945" s="37">
        <v>1372920.55</v>
      </c>
      <c r="N945" s="37"/>
      <c r="O945" s="37"/>
      <c r="P945" s="37"/>
      <c r="Q945" s="37">
        <v>1372920.55</v>
      </c>
      <c r="R945" s="37">
        <f t="shared" si="71"/>
        <v>409.4115077235045</v>
      </c>
      <c r="S945" s="29">
        <v>14736.15</v>
      </c>
      <c r="T945" s="24" t="s">
        <v>1359</v>
      </c>
      <c r="U945" s="118">
        <v>6.3</v>
      </c>
      <c r="V945" s="296">
        <v>2020</v>
      </c>
    </row>
    <row r="946" spans="1:22" ht="120">
      <c r="A946" s="70">
        <v>164</v>
      </c>
      <c r="B946" s="82" t="s">
        <v>712</v>
      </c>
      <c r="C946" s="24">
        <v>1967</v>
      </c>
      <c r="D946" s="24">
        <v>2015</v>
      </c>
      <c r="E946" s="29" t="s">
        <v>374</v>
      </c>
      <c r="F946" s="24" t="s">
        <v>1073</v>
      </c>
      <c r="G946" s="24">
        <v>6</v>
      </c>
      <c r="H946" s="37">
        <v>5342.7</v>
      </c>
      <c r="I946" s="37">
        <v>4892</v>
      </c>
      <c r="J946" s="37">
        <v>4469.3</v>
      </c>
      <c r="K946" s="36">
        <v>281</v>
      </c>
      <c r="L946" s="24" t="s">
        <v>1049</v>
      </c>
      <c r="M946" s="37">
        <v>5230593.65</v>
      </c>
      <c r="N946" s="37"/>
      <c r="O946" s="37"/>
      <c r="P946" s="37"/>
      <c r="Q946" s="37">
        <v>5230593.65</v>
      </c>
      <c r="R946" s="37">
        <f t="shared" si="71"/>
        <v>1069.2137469337695</v>
      </c>
      <c r="S946" s="29">
        <v>14736.15</v>
      </c>
      <c r="T946" s="24" t="s">
        <v>1359</v>
      </c>
      <c r="U946" s="118">
        <v>6.3</v>
      </c>
      <c r="V946" s="296">
        <v>2020</v>
      </c>
    </row>
    <row r="947" spans="1:22" ht="120">
      <c r="A947" s="70">
        <v>165</v>
      </c>
      <c r="B947" s="82" t="s">
        <v>713</v>
      </c>
      <c r="C947" s="24">
        <v>1967</v>
      </c>
      <c r="D947" s="24">
        <v>2009</v>
      </c>
      <c r="E947" s="29" t="s">
        <v>374</v>
      </c>
      <c r="F947" s="24" t="s">
        <v>1073</v>
      </c>
      <c r="G947" s="24">
        <v>8</v>
      </c>
      <c r="H947" s="37">
        <v>5718.9</v>
      </c>
      <c r="I947" s="37">
        <v>5175.1</v>
      </c>
      <c r="J947" s="37">
        <v>5175.1</v>
      </c>
      <c r="K947" s="36">
        <v>200</v>
      </c>
      <c r="L947" s="24" t="s">
        <v>772</v>
      </c>
      <c r="M947" s="37">
        <v>7351602.63</v>
      </c>
      <c r="N947" s="37"/>
      <c r="O947" s="37"/>
      <c r="P947" s="37"/>
      <c r="Q947" s="37">
        <v>7351602.63</v>
      </c>
      <c r="R947" s="37">
        <f t="shared" si="71"/>
        <v>1420.5720913605533</v>
      </c>
      <c r="S947" s="29">
        <v>14736.15</v>
      </c>
      <c r="T947" s="24" t="s">
        <v>1359</v>
      </c>
      <c r="U947" s="118">
        <v>6.3</v>
      </c>
      <c r="V947" s="296">
        <v>2020</v>
      </c>
    </row>
    <row r="948" spans="1:22" ht="105">
      <c r="A948" s="70">
        <v>166</v>
      </c>
      <c r="B948" s="82" t="s">
        <v>714</v>
      </c>
      <c r="C948" s="24">
        <v>1966</v>
      </c>
      <c r="D948" s="24">
        <v>2013</v>
      </c>
      <c r="E948" s="29" t="s">
        <v>374</v>
      </c>
      <c r="F948" s="24" t="s">
        <v>1073</v>
      </c>
      <c r="G948" s="24">
        <v>4</v>
      </c>
      <c r="H948" s="37">
        <v>4028.9</v>
      </c>
      <c r="I948" s="37">
        <v>3122</v>
      </c>
      <c r="J948" s="37">
        <v>3122</v>
      </c>
      <c r="K948" s="36">
        <v>130</v>
      </c>
      <c r="L948" s="24" t="s">
        <v>390</v>
      </c>
      <c r="M948" s="37">
        <v>3541462.77</v>
      </c>
      <c r="N948" s="37"/>
      <c r="O948" s="37"/>
      <c r="P948" s="37"/>
      <c r="Q948" s="37">
        <v>3541462.77</v>
      </c>
      <c r="R948" s="37">
        <f t="shared" si="71"/>
        <v>1134.357069186419</v>
      </c>
      <c r="S948" s="29">
        <v>14736.15</v>
      </c>
      <c r="T948" s="24" t="s">
        <v>1359</v>
      </c>
      <c r="U948" s="118">
        <v>6.3</v>
      </c>
      <c r="V948" s="296">
        <v>2020</v>
      </c>
    </row>
    <row r="949" spans="1:22" ht="105">
      <c r="A949" s="70">
        <v>167</v>
      </c>
      <c r="B949" s="82" t="s">
        <v>598</v>
      </c>
      <c r="C949" s="24">
        <v>1959</v>
      </c>
      <c r="D949" s="24">
        <v>2016</v>
      </c>
      <c r="E949" s="29" t="s">
        <v>374</v>
      </c>
      <c r="F949" s="24" t="s">
        <v>1074</v>
      </c>
      <c r="G949" s="24">
        <v>2</v>
      </c>
      <c r="H949" s="37">
        <v>1015.1</v>
      </c>
      <c r="I949" s="37">
        <v>906</v>
      </c>
      <c r="J949" s="37">
        <v>906</v>
      </c>
      <c r="K949" s="36">
        <v>33</v>
      </c>
      <c r="L949" s="24" t="s">
        <v>390</v>
      </c>
      <c r="M949" s="37">
        <v>1720505.21</v>
      </c>
      <c r="N949" s="37"/>
      <c r="O949" s="37"/>
      <c r="P949" s="37"/>
      <c r="Q949" s="37">
        <v>1720505.21</v>
      </c>
      <c r="R949" s="37">
        <f t="shared" si="71"/>
        <v>1899.0123730684327</v>
      </c>
      <c r="S949" s="29">
        <v>14736.15</v>
      </c>
      <c r="T949" s="24" t="s">
        <v>1359</v>
      </c>
      <c r="U949" s="118">
        <v>6.3</v>
      </c>
      <c r="V949" s="296">
        <v>2020</v>
      </c>
    </row>
    <row r="950" spans="1:22" ht="45">
      <c r="A950" s="70">
        <v>168</v>
      </c>
      <c r="B950" s="82" t="s">
        <v>599</v>
      </c>
      <c r="C950" s="24">
        <v>1961</v>
      </c>
      <c r="D950" s="24">
        <v>2009</v>
      </c>
      <c r="E950" s="29" t="s">
        <v>374</v>
      </c>
      <c r="F950" s="24" t="s">
        <v>1078</v>
      </c>
      <c r="G950" s="24">
        <v>1</v>
      </c>
      <c r="H950" s="37">
        <v>287.6</v>
      </c>
      <c r="I950" s="37">
        <v>287.6</v>
      </c>
      <c r="J950" s="37">
        <v>248.8</v>
      </c>
      <c r="K950" s="36">
        <v>24</v>
      </c>
      <c r="L950" s="24" t="s">
        <v>384</v>
      </c>
      <c r="M950" s="37">
        <v>177139.78</v>
      </c>
      <c r="N950" s="37"/>
      <c r="O950" s="37"/>
      <c r="P950" s="37"/>
      <c r="Q950" s="37">
        <v>177139.78</v>
      </c>
      <c r="R950" s="37">
        <f t="shared" si="71"/>
        <v>615.9241307371349</v>
      </c>
      <c r="S950" s="29">
        <v>14736.15</v>
      </c>
      <c r="T950" s="24" t="s">
        <v>1359</v>
      </c>
      <c r="U950" s="118">
        <v>6.3</v>
      </c>
      <c r="V950" s="296">
        <v>2020</v>
      </c>
    </row>
    <row r="951" spans="1:22" ht="45">
      <c r="A951" s="70">
        <v>169</v>
      </c>
      <c r="B951" s="82" t="s">
        <v>600</v>
      </c>
      <c r="C951" s="24">
        <v>1966</v>
      </c>
      <c r="D951" s="24">
        <v>2015</v>
      </c>
      <c r="E951" s="29" t="s">
        <v>374</v>
      </c>
      <c r="F951" s="24" t="s">
        <v>1073</v>
      </c>
      <c r="G951" s="24">
        <v>3</v>
      </c>
      <c r="H951" s="37">
        <v>2627.6</v>
      </c>
      <c r="I951" s="37">
        <v>2402.6</v>
      </c>
      <c r="J951" s="37">
        <v>2080.1</v>
      </c>
      <c r="K951" s="36">
        <v>119</v>
      </c>
      <c r="L951" s="24" t="s">
        <v>384</v>
      </c>
      <c r="M951" s="37">
        <v>1108430.77</v>
      </c>
      <c r="N951" s="37"/>
      <c r="O951" s="37"/>
      <c r="P951" s="37"/>
      <c r="Q951" s="37">
        <v>1108430.77</v>
      </c>
      <c r="R951" s="37">
        <f t="shared" si="71"/>
        <v>461.346362274203</v>
      </c>
      <c r="S951" s="29">
        <v>14736.15</v>
      </c>
      <c r="T951" s="24" t="s">
        <v>1359</v>
      </c>
      <c r="U951" s="118">
        <v>6.3</v>
      </c>
      <c r="V951" s="296">
        <v>2020</v>
      </c>
    </row>
    <row r="952" spans="1:22" ht="120">
      <c r="A952" s="70">
        <v>170</v>
      </c>
      <c r="B952" s="82" t="s">
        <v>715</v>
      </c>
      <c r="C952" s="24">
        <v>1972</v>
      </c>
      <c r="D952" s="24">
        <v>2016</v>
      </c>
      <c r="E952" s="24" t="s">
        <v>494</v>
      </c>
      <c r="F952" s="24" t="s">
        <v>1073</v>
      </c>
      <c r="G952" s="24">
        <v>4</v>
      </c>
      <c r="H952" s="37">
        <v>3378.55</v>
      </c>
      <c r="I952" s="37">
        <v>3033.55</v>
      </c>
      <c r="J952" s="37">
        <v>2845.85</v>
      </c>
      <c r="K952" s="36">
        <v>166</v>
      </c>
      <c r="L952" s="24" t="s">
        <v>46</v>
      </c>
      <c r="M952" s="37">
        <v>3949792.73</v>
      </c>
      <c r="N952" s="37"/>
      <c r="O952" s="37"/>
      <c r="P952" s="37"/>
      <c r="Q952" s="37">
        <v>3949792.73</v>
      </c>
      <c r="R952" s="37">
        <f t="shared" si="71"/>
        <v>1302.0364688236555</v>
      </c>
      <c r="S952" s="29">
        <v>14736.15</v>
      </c>
      <c r="T952" s="24" t="s">
        <v>1359</v>
      </c>
      <c r="U952" s="118">
        <v>6.3</v>
      </c>
      <c r="V952" s="296">
        <v>2020</v>
      </c>
    </row>
    <row r="953" spans="1:22" ht="105">
      <c r="A953" s="70">
        <v>171</v>
      </c>
      <c r="B953" s="82" t="s">
        <v>716</v>
      </c>
      <c r="C953" s="24">
        <v>1973</v>
      </c>
      <c r="D953" s="24"/>
      <c r="E953" s="24" t="s">
        <v>494</v>
      </c>
      <c r="F953" s="24" t="s">
        <v>1073</v>
      </c>
      <c r="G953" s="24">
        <v>4</v>
      </c>
      <c r="H953" s="37">
        <v>3387.9</v>
      </c>
      <c r="I953" s="37">
        <v>3034.9</v>
      </c>
      <c r="J953" s="37">
        <v>3034.9</v>
      </c>
      <c r="K953" s="36">
        <v>137</v>
      </c>
      <c r="L953" s="24" t="s">
        <v>1035</v>
      </c>
      <c r="M953" s="37">
        <v>5070741.23</v>
      </c>
      <c r="N953" s="37"/>
      <c r="O953" s="37"/>
      <c r="P953" s="37"/>
      <c r="Q953" s="37">
        <v>5070741.23</v>
      </c>
      <c r="R953" s="37">
        <f t="shared" si="71"/>
        <v>1670.8099871494944</v>
      </c>
      <c r="S953" s="29">
        <v>14736.15</v>
      </c>
      <c r="T953" s="24" t="s">
        <v>1359</v>
      </c>
      <c r="U953" s="118">
        <v>6.3</v>
      </c>
      <c r="V953" s="296">
        <v>2020</v>
      </c>
    </row>
    <row r="954" spans="1:22" ht="135">
      <c r="A954" s="70">
        <v>172</v>
      </c>
      <c r="B954" s="82" t="s">
        <v>717</v>
      </c>
      <c r="C954" s="24">
        <v>1968</v>
      </c>
      <c r="D954" s="24">
        <v>2016</v>
      </c>
      <c r="E954" s="24" t="s">
        <v>494</v>
      </c>
      <c r="F954" s="24" t="s">
        <v>1073</v>
      </c>
      <c r="G954" s="24">
        <v>6</v>
      </c>
      <c r="H954" s="37">
        <v>5682.6</v>
      </c>
      <c r="I954" s="37">
        <v>5107.6</v>
      </c>
      <c r="J954" s="37">
        <v>4424.3</v>
      </c>
      <c r="K954" s="36">
        <v>291</v>
      </c>
      <c r="L954" s="24" t="s">
        <v>1050</v>
      </c>
      <c r="M954" s="37">
        <v>5748627.25</v>
      </c>
      <c r="N954" s="37"/>
      <c r="O954" s="37"/>
      <c r="P954" s="37"/>
      <c r="Q954" s="37">
        <v>5748627.25</v>
      </c>
      <c r="R954" s="37">
        <f t="shared" si="71"/>
        <v>1125.5045911974312</v>
      </c>
      <c r="S954" s="29">
        <v>14736.15</v>
      </c>
      <c r="T954" s="24" t="s">
        <v>1359</v>
      </c>
      <c r="U954" s="118">
        <v>6.3</v>
      </c>
      <c r="V954" s="296">
        <v>2020</v>
      </c>
    </row>
    <row r="955" spans="1:22" ht="105">
      <c r="A955" s="70">
        <v>173</v>
      </c>
      <c r="B955" s="82" t="s">
        <v>601</v>
      </c>
      <c r="C955" s="24">
        <v>1982</v>
      </c>
      <c r="D955" s="24">
        <v>2008</v>
      </c>
      <c r="E955" s="29" t="s">
        <v>374</v>
      </c>
      <c r="F955" s="24" t="s">
        <v>1073</v>
      </c>
      <c r="G955" s="24">
        <v>10</v>
      </c>
      <c r="H955" s="37">
        <v>7114.7</v>
      </c>
      <c r="I955" s="37">
        <v>6369.7</v>
      </c>
      <c r="J955" s="37">
        <v>5894.1</v>
      </c>
      <c r="K955" s="36">
        <v>313</v>
      </c>
      <c r="L955" s="24" t="s">
        <v>390</v>
      </c>
      <c r="M955" s="37">
        <v>8007437.44</v>
      </c>
      <c r="N955" s="37"/>
      <c r="O955" s="37"/>
      <c r="P955" s="37"/>
      <c r="Q955" s="37">
        <v>8007437.44</v>
      </c>
      <c r="R955" s="37">
        <f t="shared" si="71"/>
        <v>1257.1137479002152</v>
      </c>
      <c r="S955" s="29">
        <v>14736.15</v>
      </c>
      <c r="T955" s="24" t="s">
        <v>1359</v>
      </c>
      <c r="U955" s="118">
        <v>6.3</v>
      </c>
      <c r="V955" s="296">
        <v>2020</v>
      </c>
    </row>
    <row r="956" spans="1:22" ht="60">
      <c r="A956" s="70">
        <v>174</v>
      </c>
      <c r="B956" s="82" t="s">
        <v>718</v>
      </c>
      <c r="C956" s="24">
        <v>1975</v>
      </c>
      <c r="D956" s="24"/>
      <c r="E956" s="24" t="s">
        <v>494</v>
      </c>
      <c r="F956" s="24" t="s">
        <v>1073</v>
      </c>
      <c r="G956" s="24">
        <v>4</v>
      </c>
      <c r="H956" s="37">
        <v>3345.9</v>
      </c>
      <c r="I956" s="37">
        <v>3037.1</v>
      </c>
      <c r="J956" s="37">
        <v>2918.2</v>
      </c>
      <c r="K956" s="36">
        <v>134</v>
      </c>
      <c r="L956" s="24" t="s">
        <v>47</v>
      </c>
      <c r="M956" s="37">
        <v>3264936.38</v>
      </c>
      <c r="N956" s="37"/>
      <c r="O956" s="37"/>
      <c r="P956" s="37"/>
      <c r="Q956" s="37">
        <v>3264936.38</v>
      </c>
      <c r="R956" s="37">
        <f t="shared" si="71"/>
        <v>1075.0177406078167</v>
      </c>
      <c r="S956" s="29">
        <v>14736.15</v>
      </c>
      <c r="T956" s="24" t="s">
        <v>1359</v>
      </c>
      <c r="U956" s="118">
        <v>6.3</v>
      </c>
      <c r="V956" s="296">
        <v>2020</v>
      </c>
    </row>
    <row r="957" spans="1:22" ht="45">
      <c r="A957" s="70">
        <v>175</v>
      </c>
      <c r="B957" s="82" t="s">
        <v>1137</v>
      </c>
      <c r="C957" s="24">
        <v>1984</v>
      </c>
      <c r="D957" s="24"/>
      <c r="E957" s="24" t="s">
        <v>494</v>
      </c>
      <c r="F957" s="24" t="s">
        <v>1077</v>
      </c>
      <c r="G957" s="24">
        <v>5</v>
      </c>
      <c r="H957" s="37">
        <v>10802.47</v>
      </c>
      <c r="I957" s="37">
        <v>9599.07</v>
      </c>
      <c r="J957" s="37">
        <v>8823.17</v>
      </c>
      <c r="K957" s="36">
        <v>525</v>
      </c>
      <c r="L957" s="24" t="s">
        <v>1346</v>
      </c>
      <c r="M957" s="37">
        <v>7993350.01</v>
      </c>
      <c r="N957" s="37"/>
      <c r="O957" s="37"/>
      <c r="P957" s="37"/>
      <c r="Q957" s="37">
        <v>7993350.01</v>
      </c>
      <c r="R957" s="37">
        <f t="shared" si="71"/>
        <v>832.7212959172086</v>
      </c>
      <c r="S957" s="29">
        <v>14736.15</v>
      </c>
      <c r="T957" s="24" t="s">
        <v>1359</v>
      </c>
      <c r="U957" s="118">
        <v>6.3</v>
      </c>
      <c r="V957" s="296">
        <v>2020</v>
      </c>
    </row>
    <row r="958" spans="1:22" ht="45">
      <c r="A958" s="70">
        <v>176</v>
      </c>
      <c r="B958" s="82" t="s">
        <v>1138</v>
      </c>
      <c r="C958" s="24">
        <v>1983</v>
      </c>
      <c r="D958" s="24"/>
      <c r="E958" s="24" t="s">
        <v>494</v>
      </c>
      <c r="F958" s="24" t="s">
        <v>1077</v>
      </c>
      <c r="G958" s="24">
        <v>8</v>
      </c>
      <c r="H958" s="37">
        <v>18298.84</v>
      </c>
      <c r="I958" s="37">
        <v>15834.84</v>
      </c>
      <c r="J958" s="37">
        <v>14880.94</v>
      </c>
      <c r="K958" s="36">
        <v>877</v>
      </c>
      <c r="L958" s="24" t="s">
        <v>1346</v>
      </c>
      <c r="M958" s="37">
        <v>12789360</v>
      </c>
      <c r="N958" s="37"/>
      <c r="O958" s="37"/>
      <c r="P958" s="37"/>
      <c r="Q958" s="37">
        <v>12789360</v>
      </c>
      <c r="R958" s="37">
        <f t="shared" si="71"/>
        <v>807.6721962457467</v>
      </c>
      <c r="S958" s="29">
        <v>14736.15</v>
      </c>
      <c r="T958" s="24" t="s">
        <v>1359</v>
      </c>
      <c r="U958" s="118">
        <v>6.3</v>
      </c>
      <c r="V958" s="296">
        <v>2020</v>
      </c>
    </row>
    <row r="959" spans="1:22" ht="45">
      <c r="A959" s="70">
        <v>177</v>
      </c>
      <c r="B959" s="82" t="s">
        <v>1136</v>
      </c>
      <c r="C959" s="24">
        <v>1983</v>
      </c>
      <c r="D959" s="24"/>
      <c r="E959" s="24" t="s">
        <v>494</v>
      </c>
      <c r="F959" s="24" t="s">
        <v>1077</v>
      </c>
      <c r="G959" s="24">
        <v>1</v>
      </c>
      <c r="H959" s="37">
        <v>4308.6</v>
      </c>
      <c r="I959" s="37">
        <v>3632.3</v>
      </c>
      <c r="J959" s="37">
        <v>3518.7</v>
      </c>
      <c r="K959" s="36">
        <v>282</v>
      </c>
      <c r="L959" s="24" t="s">
        <v>1346</v>
      </c>
      <c r="M959" s="37">
        <v>1598670</v>
      </c>
      <c r="N959" s="37"/>
      <c r="O959" s="37"/>
      <c r="P959" s="37"/>
      <c r="Q959" s="37">
        <v>1598670</v>
      </c>
      <c r="R959" s="37">
        <f t="shared" si="71"/>
        <v>440.1260909065881</v>
      </c>
      <c r="S959" s="29">
        <v>14736.15</v>
      </c>
      <c r="T959" s="24" t="s">
        <v>1359</v>
      </c>
      <c r="U959" s="118">
        <v>6.3</v>
      </c>
      <c r="V959" s="296">
        <v>2020</v>
      </c>
    </row>
    <row r="960" spans="1:22" ht="75">
      <c r="A960" s="70">
        <v>178</v>
      </c>
      <c r="B960" s="82" t="s">
        <v>1139</v>
      </c>
      <c r="C960" s="24">
        <v>1983</v>
      </c>
      <c r="D960" s="24"/>
      <c r="E960" s="24" t="s">
        <v>494</v>
      </c>
      <c r="F960" s="24" t="s">
        <v>1077</v>
      </c>
      <c r="G960" s="24">
        <v>1</v>
      </c>
      <c r="H960" s="37">
        <v>4319.1</v>
      </c>
      <c r="I960" s="37">
        <v>3642.8</v>
      </c>
      <c r="J960" s="37">
        <v>3383.3</v>
      </c>
      <c r="K960" s="36">
        <v>246</v>
      </c>
      <c r="L960" s="24" t="s">
        <v>1347</v>
      </c>
      <c r="M960" s="37">
        <v>3885976.49</v>
      </c>
      <c r="N960" s="37"/>
      <c r="O960" s="37"/>
      <c r="P960" s="37"/>
      <c r="Q960" s="37">
        <v>3885976.49</v>
      </c>
      <c r="R960" s="37">
        <f t="shared" si="71"/>
        <v>1066.7553777314154</v>
      </c>
      <c r="S960" s="29">
        <v>14736.15</v>
      </c>
      <c r="T960" s="24" t="s">
        <v>1359</v>
      </c>
      <c r="U960" s="118">
        <v>6.3</v>
      </c>
      <c r="V960" s="296">
        <v>2020</v>
      </c>
    </row>
    <row r="961" spans="1:22" ht="75">
      <c r="A961" s="70">
        <v>179</v>
      </c>
      <c r="B961" s="82" t="s">
        <v>1140</v>
      </c>
      <c r="C961" s="24">
        <v>1983</v>
      </c>
      <c r="D961" s="24"/>
      <c r="E961" s="24" t="s">
        <v>494</v>
      </c>
      <c r="F961" s="24" t="s">
        <v>1077</v>
      </c>
      <c r="G961" s="24">
        <v>1</v>
      </c>
      <c r="H961" s="37">
        <v>4323.06</v>
      </c>
      <c r="I961" s="37">
        <v>3644.36</v>
      </c>
      <c r="J961" s="37">
        <v>3546.56</v>
      </c>
      <c r="K961" s="36">
        <v>168</v>
      </c>
      <c r="L961" s="24" t="s">
        <v>1347</v>
      </c>
      <c r="M961" s="37">
        <v>3880942.96</v>
      </c>
      <c r="N961" s="37"/>
      <c r="O961" s="37"/>
      <c r="P961" s="37"/>
      <c r="Q961" s="37">
        <v>3880942.96</v>
      </c>
      <c r="R961" s="37">
        <f t="shared" si="71"/>
        <v>1064.9175602849334</v>
      </c>
      <c r="S961" s="29">
        <v>14736.15</v>
      </c>
      <c r="T961" s="24" t="s">
        <v>1359</v>
      </c>
      <c r="U961" s="118">
        <v>6.3</v>
      </c>
      <c r="V961" s="296">
        <v>2020</v>
      </c>
    </row>
    <row r="962" spans="1:22" ht="45">
      <c r="A962" s="70">
        <v>180</v>
      </c>
      <c r="B962" s="82" t="s">
        <v>791</v>
      </c>
      <c r="C962" s="24">
        <v>1983</v>
      </c>
      <c r="D962" s="24"/>
      <c r="E962" s="24" t="s">
        <v>494</v>
      </c>
      <c r="F962" s="24" t="s">
        <v>1077</v>
      </c>
      <c r="G962" s="24">
        <v>5</v>
      </c>
      <c r="H962" s="37">
        <v>11100.8</v>
      </c>
      <c r="I962" s="37">
        <v>9881.1</v>
      </c>
      <c r="J962" s="37">
        <v>8948.4</v>
      </c>
      <c r="K962" s="36">
        <v>586</v>
      </c>
      <c r="L962" s="24" t="s">
        <v>1346</v>
      </c>
      <c r="M962" s="37">
        <v>7993350</v>
      </c>
      <c r="N962" s="37"/>
      <c r="O962" s="37"/>
      <c r="P962" s="37"/>
      <c r="Q962" s="37">
        <v>7993350</v>
      </c>
      <c r="R962" s="37">
        <f t="shared" si="71"/>
        <v>808.9534565989617</v>
      </c>
      <c r="S962" s="29">
        <v>14736.15</v>
      </c>
      <c r="T962" s="24" t="s">
        <v>1359</v>
      </c>
      <c r="U962" s="118">
        <v>6.3</v>
      </c>
      <c r="V962" s="296">
        <v>2020</v>
      </c>
    </row>
    <row r="963" spans="1:22" ht="45">
      <c r="A963" s="70">
        <v>181</v>
      </c>
      <c r="B963" s="82" t="s">
        <v>1625</v>
      </c>
      <c r="C963" s="24">
        <v>1984</v>
      </c>
      <c r="D963" s="24"/>
      <c r="E963" s="24" t="s">
        <v>494</v>
      </c>
      <c r="F963" s="24" t="s">
        <v>1077</v>
      </c>
      <c r="G963" s="24">
        <v>9</v>
      </c>
      <c r="H963" s="37">
        <v>20152.59</v>
      </c>
      <c r="I963" s="37">
        <v>17711.59</v>
      </c>
      <c r="J963" s="37">
        <v>15964.27</v>
      </c>
      <c r="K963" s="36">
        <v>1009</v>
      </c>
      <c r="L963" s="24" t="s">
        <v>1346</v>
      </c>
      <c r="M963" s="37">
        <v>14388030</v>
      </c>
      <c r="N963" s="37"/>
      <c r="O963" s="37"/>
      <c r="P963" s="37"/>
      <c r="Q963" s="37">
        <v>14388030</v>
      </c>
      <c r="R963" s="37">
        <f t="shared" si="71"/>
        <v>812.3511214972795</v>
      </c>
      <c r="S963" s="29">
        <v>14736.15</v>
      </c>
      <c r="T963" s="24" t="s">
        <v>1359</v>
      </c>
      <c r="U963" s="118">
        <v>6.3</v>
      </c>
      <c r="V963" s="296">
        <v>2020</v>
      </c>
    </row>
    <row r="964" spans="1:22" ht="45">
      <c r="A964" s="70">
        <v>182</v>
      </c>
      <c r="B964" s="82" t="s">
        <v>1626</v>
      </c>
      <c r="C964" s="24">
        <v>1985</v>
      </c>
      <c r="D964" s="24"/>
      <c r="E964" s="24" t="s">
        <v>494</v>
      </c>
      <c r="F964" s="24" t="s">
        <v>1077</v>
      </c>
      <c r="G964" s="24">
        <v>3</v>
      </c>
      <c r="H964" s="37">
        <v>6556.95</v>
      </c>
      <c r="I964" s="37">
        <v>5811.45</v>
      </c>
      <c r="J964" s="37">
        <v>5564.15</v>
      </c>
      <c r="K964" s="36">
        <v>346</v>
      </c>
      <c r="L964" s="24" t="s">
        <v>1346</v>
      </c>
      <c r="M964" s="37">
        <v>5257084.33</v>
      </c>
      <c r="N964" s="37"/>
      <c r="O964" s="37"/>
      <c r="P964" s="37"/>
      <c r="Q964" s="37">
        <v>5257084.33</v>
      </c>
      <c r="R964" s="37">
        <f t="shared" si="71"/>
        <v>904.6080289772776</v>
      </c>
      <c r="S964" s="29">
        <v>14736.15</v>
      </c>
      <c r="T964" s="24" t="s">
        <v>1359</v>
      </c>
      <c r="U964" s="118">
        <v>6.3</v>
      </c>
      <c r="V964" s="296">
        <v>2020</v>
      </c>
    </row>
    <row r="965" spans="1:22" ht="45">
      <c r="A965" s="70">
        <v>183</v>
      </c>
      <c r="B965" s="82" t="s">
        <v>1627</v>
      </c>
      <c r="C965" s="24">
        <v>1985</v>
      </c>
      <c r="D965" s="24"/>
      <c r="E965" s="24" t="s">
        <v>494</v>
      </c>
      <c r="F965" s="24" t="s">
        <v>1077</v>
      </c>
      <c r="G965" s="24">
        <v>3</v>
      </c>
      <c r="H965" s="37">
        <v>6489.08</v>
      </c>
      <c r="I965" s="37">
        <v>5743.78</v>
      </c>
      <c r="J965" s="37">
        <v>5486.48</v>
      </c>
      <c r="K965" s="36">
        <v>293</v>
      </c>
      <c r="L965" s="24" t="s">
        <v>1346</v>
      </c>
      <c r="M965" s="37">
        <v>5293666.45</v>
      </c>
      <c r="N965" s="37"/>
      <c r="O965" s="37"/>
      <c r="P965" s="37"/>
      <c r="Q965" s="37">
        <v>5293666.45</v>
      </c>
      <c r="R965" s="37">
        <f t="shared" si="71"/>
        <v>921.6346117017017</v>
      </c>
      <c r="S965" s="29">
        <v>14736.15</v>
      </c>
      <c r="T965" s="24" t="s">
        <v>1359</v>
      </c>
      <c r="U965" s="118">
        <v>6.3</v>
      </c>
      <c r="V965" s="296">
        <v>2020</v>
      </c>
    </row>
    <row r="966" spans="1:22" ht="75">
      <c r="A966" s="70">
        <v>184</v>
      </c>
      <c r="B966" s="82" t="s">
        <v>1628</v>
      </c>
      <c r="C966" s="24">
        <v>1960</v>
      </c>
      <c r="D966" s="24"/>
      <c r="E966" s="29" t="s">
        <v>374</v>
      </c>
      <c r="F966" s="24" t="s">
        <v>1073</v>
      </c>
      <c r="G966" s="24">
        <v>4</v>
      </c>
      <c r="H966" s="37">
        <v>6152.7</v>
      </c>
      <c r="I966" s="37">
        <v>5566.7</v>
      </c>
      <c r="J966" s="37">
        <v>5204</v>
      </c>
      <c r="K966" s="36">
        <v>130</v>
      </c>
      <c r="L966" s="24" t="s">
        <v>1404</v>
      </c>
      <c r="M966" s="37">
        <v>7710840.6</v>
      </c>
      <c r="N966" s="37"/>
      <c r="O966" s="37"/>
      <c r="P966" s="37"/>
      <c r="Q966" s="37">
        <v>7710840.6</v>
      </c>
      <c r="R966" s="37">
        <f t="shared" si="71"/>
        <v>1385.1726516607685</v>
      </c>
      <c r="S966" s="29">
        <v>14736.15</v>
      </c>
      <c r="T966" s="24" t="s">
        <v>1359</v>
      </c>
      <c r="U966" s="118">
        <v>6.3</v>
      </c>
      <c r="V966" s="296">
        <v>2020</v>
      </c>
    </row>
    <row r="967" spans="1:22" ht="135">
      <c r="A967" s="70">
        <v>185</v>
      </c>
      <c r="B967" s="82" t="s">
        <v>1629</v>
      </c>
      <c r="C967" s="24">
        <v>1966</v>
      </c>
      <c r="D967" s="24"/>
      <c r="E967" s="29" t="s">
        <v>374</v>
      </c>
      <c r="F967" s="24" t="s">
        <v>1073</v>
      </c>
      <c r="G967" s="24">
        <v>3</v>
      </c>
      <c r="H967" s="37">
        <v>2685.58</v>
      </c>
      <c r="I967" s="37">
        <v>2438.88</v>
      </c>
      <c r="J967" s="37">
        <v>2213.18</v>
      </c>
      <c r="K967" s="36">
        <v>165</v>
      </c>
      <c r="L967" s="24" t="s">
        <v>1051</v>
      </c>
      <c r="M967" s="37">
        <v>6110687.73</v>
      </c>
      <c r="N967" s="37"/>
      <c r="O967" s="37"/>
      <c r="P967" s="37"/>
      <c r="Q967" s="37">
        <v>6110687.73</v>
      </c>
      <c r="R967" s="37">
        <f t="shared" si="71"/>
        <v>2505.530296693564</v>
      </c>
      <c r="S967" s="29">
        <v>14736.15</v>
      </c>
      <c r="T967" s="24" t="s">
        <v>1359</v>
      </c>
      <c r="U967" s="118">
        <v>6.3</v>
      </c>
      <c r="V967" s="296">
        <v>2020</v>
      </c>
    </row>
    <row r="968" spans="1:22" ht="195">
      <c r="A968" s="70">
        <v>186</v>
      </c>
      <c r="B968" s="82" t="s">
        <v>792</v>
      </c>
      <c r="C968" s="24">
        <v>1970</v>
      </c>
      <c r="D968" s="24">
        <v>2015</v>
      </c>
      <c r="E968" s="29" t="s">
        <v>374</v>
      </c>
      <c r="F968" s="24" t="s">
        <v>1073</v>
      </c>
      <c r="G968" s="24">
        <v>4</v>
      </c>
      <c r="H968" s="37">
        <v>4511.8</v>
      </c>
      <c r="I968" s="37">
        <v>4083.7</v>
      </c>
      <c r="J968" s="37">
        <v>3787.1</v>
      </c>
      <c r="K968" s="36">
        <v>144</v>
      </c>
      <c r="L968" s="24" t="s">
        <v>861</v>
      </c>
      <c r="M968" s="37">
        <v>7930224.75</v>
      </c>
      <c r="N968" s="37"/>
      <c r="O968" s="37"/>
      <c r="P968" s="37"/>
      <c r="Q968" s="37">
        <v>7930224.75</v>
      </c>
      <c r="R968" s="37">
        <f t="shared" si="71"/>
        <v>1941.9214805201166</v>
      </c>
      <c r="S968" s="29">
        <v>14736.15</v>
      </c>
      <c r="T968" s="24" t="s">
        <v>1359</v>
      </c>
      <c r="U968" s="118">
        <v>6.3</v>
      </c>
      <c r="V968" s="296">
        <v>2020</v>
      </c>
    </row>
    <row r="969" spans="1:22" ht="105">
      <c r="A969" s="70">
        <v>187</v>
      </c>
      <c r="B969" s="82" t="s">
        <v>793</v>
      </c>
      <c r="C969" s="24">
        <v>1969</v>
      </c>
      <c r="D969" s="24">
        <v>2016</v>
      </c>
      <c r="E969" s="29" t="s">
        <v>374</v>
      </c>
      <c r="F969" s="24" t="s">
        <v>1073</v>
      </c>
      <c r="G969" s="24">
        <v>8</v>
      </c>
      <c r="H969" s="37">
        <v>6536.4</v>
      </c>
      <c r="I969" s="37">
        <v>5944.5</v>
      </c>
      <c r="J969" s="37">
        <v>5248.6</v>
      </c>
      <c r="K969" s="36">
        <v>300</v>
      </c>
      <c r="L969" s="24" t="s">
        <v>390</v>
      </c>
      <c r="M969" s="37">
        <v>8060615.45</v>
      </c>
      <c r="N969" s="37"/>
      <c r="O969" s="37"/>
      <c r="P969" s="37"/>
      <c r="Q969" s="37">
        <v>8060615.45</v>
      </c>
      <c r="R969" s="37">
        <f t="shared" si="71"/>
        <v>1355.9787114139122</v>
      </c>
      <c r="S969" s="29">
        <v>14736.15</v>
      </c>
      <c r="T969" s="24" t="s">
        <v>1359</v>
      </c>
      <c r="U969" s="118">
        <v>6.3</v>
      </c>
      <c r="V969" s="296">
        <v>2020</v>
      </c>
    </row>
    <row r="970" spans="1:22" ht="165">
      <c r="A970" s="70">
        <v>188</v>
      </c>
      <c r="B970" s="82" t="s">
        <v>794</v>
      </c>
      <c r="C970" s="24">
        <v>1969</v>
      </c>
      <c r="D970" s="24"/>
      <c r="E970" s="24" t="s">
        <v>494</v>
      </c>
      <c r="F970" s="24" t="s">
        <v>1073</v>
      </c>
      <c r="G970" s="24">
        <v>3</v>
      </c>
      <c r="H970" s="37">
        <v>2866.4</v>
      </c>
      <c r="I970" s="37">
        <v>2578.4</v>
      </c>
      <c r="J970" s="37">
        <v>2097.9</v>
      </c>
      <c r="K970" s="36">
        <v>153</v>
      </c>
      <c r="L970" s="24" t="s">
        <v>1276</v>
      </c>
      <c r="M970" s="37">
        <v>4776046.1</v>
      </c>
      <c r="N970" s="37"/>
      <c r="O970" s="37"/>
      <c r="P970" s="37"/>
      <c r="Q970" s="37">
        <v>4776046.1</v>
      </c>
      <c r="R970" s="37">
        <f t="shared" si="71"/>
        <v>1852.329390319578</v>
      </c>
      <c r="S970" s="29">
        <v>14736.15</v>
      </c>
      <c r="T970" s="24" t="s">
        <v>1359</v>
      </c>
      <c r="U970" s="118">
        <v>6.3</v>
      </c>
      <c r="V970" s="296">
        <v>2020</v>
      </c>
    </row>
    <row r="971" spans="1:22" ht="45">
      <c r="A971" s="70">
        <v>189</v>
      </c>
      <c r="B971" s="82" t="s">
        <v>795</v>
      </c>
      <c r="C971" s="24">
        <v>1969</v>
      </c>
      <c r="D971" s="24">
        <v>2015</v>
      </c>
      <c r="E971" s="29" t="s">
        <v>374</v>
      </c>
      <c r="F971" s="24" t="s">
        <v>1073</v>
      </c>
      <c r="G971" s="24">
        <v>1</v>
      </c>
      <c r="H971" s="37">
        <v>2246.98</v>
      </c>
      <c r="I971" s="37">
        <v>1967.68</v>
      </c>
      <c r="J971" s="37">
        <v>1742.71</v>
      </c>
      <c r="K971" s="36">
        <v>173</v>
      </c>
      <c r="L971" s="24" t="s">
        <v>497</v>
      </c>
      <c r="M971" s="37">
        <v>2486839.85</v>
      </c>
      <c r="N971" s="37"/>
      <c r="O971" s="37"/>
      <c r="P971" s="37"/>
      <c r="Q971" s="37">
        <v>2486839.85</v>
      </c>
      <c r="R971" s="37">
        <f t="shared" si="71"/>
        <v>1263.8436381932022</v>
      </c>
      <c r="S971" s="29">
        <v>14736.15</v>
      </c>
      <c r="T971" s="24" t="s">
        <v>1359</v>
      </c>
      <c r="U971" s="118">
        <v>6.3</v>
      </c>
      <c r="V971" s="296">
        <v>2020</v>
      </c>
    </row>
    <row r="972" spans="1:22" ht="195">
      <c r="A972" s="70">
        <v>190</v>
      </c>
      <c r="B972" s="82" t="s">
        <v>796</v>
      </c>
      <c r="C972" s="24">
        <v>1980</v>
      </c>
      <c r="D972" s="24"/>
      <c r="E972" s="24" t="s">
        <v>494</v>
      </c>
      <c r="F972" s="24" t="s">
        <v>1077</v>
      </c>
      <c r="G972" s="24">
        <v>10</v>
      </c>
      <c r="H972" s="37">
        <v>21729.94</v>
      </c>
      <c r="I972" s="37">
        <v>19237.94</v>
      </c>
      <c r="J972" s="37">
        <v>17399.24</v>
      </c>
      <c r="K972" s="36">
        <v>1080</v>
      </c>
      <c r="L972" s="24" t="s">
        <v>862</v>
      </c>
      <c r="M972" s="37">
        <v>40224859.7</v>
      </c>
      <c r="N972" s="37"/>
      <c r="O972" s="37"/>
      <c r="P972" s="37"/>
      <c r="Q972" s="37">
        <v>40224859.7</v>
      </c>
      <c r="R972" s="37">
        <f t="shared" si="71"/>
        <v>2090.913044743876</v>
      </c>
      <c r="S972" s="29">
        <v>14736.15</v>
      </c>
      <c r="T972" s="24" t="s">
        <v>1359</v>
      </c>
      <c r="U972" s="118">
        <v>6.3</v>
      </c>
      <c r="V972" s="296">
        <v>2020</v>
      </c>
    </row>
    <row r="973" spans="1:22" ht="45">
      <c r="A973" s="70">
        <v>191</v>
      </c>
      <c r="B973" s="82" t="s">
        <v>1630</v>
      </c>
      <c r="C973" s="24">
        <v>1968</v>
      </c>
      <c r="D973" s="24">
        <v>2015</v>
      </c>
      <c r="E973" s="29" t="s">
        <v>374</v>
      </c>
      <c r="F973" s="24" t="s">
        <v>1073</v>
      </c>
      <c r="G973" s="24">
        <v>4</v>
      </c>
      <c r="H973" s="37">
        <v>3386.2</v>
      </c>
      <c r="I973" s="37">
        <v>3159.2</v>
      </c>
      <c r="J973" s="37">
        <v>2848.4</v>
      </c>
      <c r="K973" s="36">
        <v>142</v>
      </c>
      <c r="L973" s="24" t="s">
        <v>384</v>
      </c>
      <c r="M973" s="37">
        <v>1362012.77</v>
      </c>
      <c r="N973" s="37"/>
      <c r="O973" s="37"/>
      <c r="P973" s="37"/>
      <c r="Q973" s="37">
        <v>1362012.77</v>
      </c>
      <c r="R973" s="37">
        <f t="shared" si="71"/>
        <v>431.12584515067107</v>
      </c>
      <c r="S973" s="29">
        <v>14736.15</v>
      </c>
      <c r="T973" s="24" t="s">
        <v>1359</v>
      </c>
      <c r="U973" s="118">
        <v>6.3</v>
      </c>
      <c r="V973" s="296">
        <v>2020</v>
      </c>
    </row>
    <row r="974" spans="1:22" ht="45">
      <c r="A974" s="70">
        <v>192</v>
      </c>
      <c r="B974" s="82" t="s">
        <v>1631</v>
      </c>
      <c r="C974" s="24">
        <v>1969</v>
      </c>
      <c r="D974" s="24">
        <v>2008</v>
      </c>
      <c r="E974" s="29" t="s">
        <v>374</v>
      </c>
      <c r="F974" s="24" t="s">
        <v>1073</v>
      </c>
      <c r="G974" s="24">
        <v>3</v>
      </c>
      <c r="H974" s="37">
        <v>2754.9</v>
      </c>
      <c r="I974" s="37">
        <v>2526.9</v>
      </c>
      <c r="J974" s="37">
        <v>2205</v>
      </c>
      <c r="K974" s="36">
        <v>151</v>
      </c>
      <c r="L974" s="24" t="s">
        <v>497</v>
      </c>
      <c r="M974" s="37">
        <v>2460745.74</v>
      </c>
      <c r="N974" s="37"/>
      <c r="O974" s="37"/>
      <c r="P974" s="37"/>
      <c r="Q974" s="37">
        <v>2460745.74</v>
      </c>
      <c r="R974" s="37">
        <f t="shared" si="71"/>
        <v>973.8199928766473</v>
      </c>
      <c r="S974" s="29">
        <v>14736.15</v>
      </c>
      <c r="T974" s="24" t="s">
        <v>1359</v>
      </c>
      <c r="U974" s="118">
        <v>6.3</v>
      </c>
      <c r="V974" s="296">
        <v>2020</v>
      </c>
    </row>
    <row r="975" spans="1:22" ht="45">
      <c r="A975" s="70">
        <v>193</v>
      </c>
      <c r="B975" s="82" t="s">
        <v>1632</v>
      </c>
      <c r="C975" s="24">
        <v>1967</v>
      </c>
      <c r="D975" s="24">
        <v>2015</v>
      </c>
      <c r="E975" s="24" t="s">
        <v>494</v>
      </c>
      <c r="F975" s="24" t="s">
        <v>1073</v>
      </c>
      <c r="G975" s="24">
        <v>6</v>
      </c>
      <c r="H975" s="37">
        <v>6235.4</v>
      </c>
      <c r="I975" s="37">
        <v>5713.4</v>
      </c>
      <c r="J975" s="37">
        <v>5206.07</v>
      </c>
      <c r="K975" s="36">
        <v>300</v>
      </c>
      <c r="L975" s="24" t="s">
        <v>384</v>
      </c>
      <c r="M975" s="37">
        <v>2395758.25</v>
      </c>
      <c r="N975" s="37"/>
      <c r="O975" s="37"/>
      <c r="P975" s="37"/>
      <c r="Q975" s="37">
        <v>2395758.25</v>
      </c>
      <c r="R975" s="37">
        <f t="shared" si="71"/>
        <v>419.32268876675886</v>
      </c>
      <c r="S975" s="29">
        <v>14736.15</v>
      </c>
      <c r="T975" s="24" t="s">
        <v>1359</v>
      </c>
      <c r="U975" s="118">
        <v>6.3</v>
      </c>
      <c r="V975" s="296">
        <v>2020</v>
      </c>
    </row>
    <row r="976" spans="1:22" ht="180">
      <c r="A976" s="70">
        <v>194</v>
      </c>
      <c r="B976" s="82" t="s">
        <v>1633</v>
      </c>
      <c r="C976" s="24" t="s">
        <v>1605</v>
      </c>
      <c r="D976" s="24">
        <v>2015</v>
      </c>
      <c r="E976" s="24" t="s">
        <v>494</v>
      </c>
      <c r="F976" s="24" t="s">
        <v>1073</v>
      </c>
      <c r="G976" s="24">
        <v>4</v>
      </c>
      <c r="H976" s="37">
        <v>3813</v>
      </c>
      <c r="I976" s="37">
        <v>3499.8</v>
      </c>
      <c r="J976" s="37">
        <v>3126.8</v>
      </c>
      <c r="K976" s="36">
        <v>198</v>
      </c>
      <c r="L976" s="24" t="s">
        <v>863</v>
      </c>
      <c r="M976" s="37">
        <v>5779020.13</v>
      </c>
      <c r="N976" s="37"/>
      <c r="O976" s="37"/>
      <c r="P976" s="37"/>
      <c r="Q976" s="37">
        <v>5779020.13</v>
      </c>
      <c r="R976" s="37">
        <f t="shared" si="71"/>
        <v>1651.2429653123033</v>
      </c>
      <c r="S976" s="29">
        <v>14736.15</v>
      </c>
      <c r="T976" s="24" t="s">
        <v>1359</v>
      </c>
      <c r="U976" s="118">
        <v>6.3</v>
      </c>
      <c r="V976" s="296">
        <v>2020</v>
      </c>
    </row>
    <row r="977" spans="1:22" ht="195">
      <c r="A977" s="70">
        <v>195</v>
      </c>
      <c r="B977" s="82" t="s">
        <v>1634</v>
      </c>
      <c r="C977" s="24">
        <v>1970</v>
      </c>
      <c r="D977" s="24">
        <v>2015</v>
      </c>
      <c r="E977" s="24" t="s">
        <v>494</v>
      </c>
      <c r="F977" s="24" t="s">
        <v>1073</v>
      </c>
      <c r="G977" s="24">
        <v>4</v>
      </c>
      <c r="H977" s="37">
        <v>3868</v>
      </c>
      <c r="I977" s="37">
        <v>3512</v>
      </c>
      <c r="J977" s="37">
        <v>3180.7</v>
      </c>
      <c r="K977" s="36">
        <v>186</v>
      </c>
      <c r="L977" s="24" t="s">
        <v>864</v>
      </c>
      <c r="M977" s="37">
        <v>6301171.83</v>
      </c>
      <c r="N977" s="37"/>
      <c r="O977" s="37"/>
      <c r="P977" s="37"/>
      <c r="Q977" s="37">
        <v>6301171.83</v>
      </c>
      <c r="R977" s="37">
        <f t="shared" si="71"/>
        <v>1794.1833228929386</v>
      </c>
      <c r="S977" s="29">
        <v>14736.15</v>
      </c>
      <c r="T977" s="24" t="s">
        <v>1359</v>
      </c>
      <c r="U977" s="118">
        <v>6.3</v>
      </c>
      <c r="V977" s="296">
        <v>2020</v>
      </c>
    </row>
    <row r="978" spans="1:22" ht="165">
      <c r="A978" s="70">
        <v>196</v>
      </c>
      <c r="B978" s="82" t="s">
        <v>1635</v>
      </c>
      <c r="C978" s="24">
        <v>1968</v>
      </c>
      <c r="D978" s="24">
        <v>2015</v>
      </c>
      <c r="E978" s="24" t="s">
        <v>374</v>
      </c>
      <c r="F978" s="24" t="s">
        <v>1073</v>
      </c>
      <c r="G978" s="24">
        <v>2</v>
      </c>
      <c r="H978" s="37">
        <v>2861.77</v>
      </c>
      <c r="I978" s="37">
        <v>1948.77</v>
      </c>
      <c r="J978" s="37">
        <v>1420.11</v>
      </c>
      <c r="K978" s="36">
        <v>183</v>
      </c>
      <c r="L978" s="24" t="s">
        <v>91</v>
      </c>
      <c r="M978" s="37">
        <v>4989788.51</v>
      </c>
      <c r="N978" s="37"/>
      <c r="O978" s="37"/>
      <c r="P978" s="37"/>
      <c r="Q978" s="37">
        <v>4989788.51</v>
      </c>
      <c r="R978" s="37">
        <f t="shared" si="71"/>
        <v>2560.4809751792154</v>
      </c>
      <c r="S978" s="29">
        <v>14736.15</v>
      </c>
      <c r="T978" s="24" t="s">
        <v>1359</v>
      </c>
      <c r="U978" s="118">
        <v>6.3</v>
      </c>
      <c r="V978" s="296">
        <v>2020</v>
      </c>
    </row>
    <row r="979" spans="1:22" ht="195">
      <c r="A979" s="70">
        <v>197</v>
      </c>
      <c r="B979" s="82" t="s">
        <v>797</v>
      </c>
      <c r="C979" s="24">
        <v>1970</v>
      </c>
      <c r="D979" s="24">
        <v>2015</v>
      </c>
      <c r="E979" s="24" t="s">
        <v>494</v>
      </c>
      <c r="F979" s="24" t="s">
        <v>1073</v>
      </c>
      <c r="G979" s="24">
        <v>7</v>
      </c>
      <c r="H979" s="37">
        <v>7001.3</v>
      </c>
      <c r="I979" s="37">
        <v>6378.3</v>
      </c>
      <c r="J979" s="37">
        <v>5555.9</v>
      </c>
      <c r="K979" s="36">
        <v>339</v>
      </c>
      <c r="L979" s="24" t="s">
        <v>665</v>
      </c>
      <c r="M979" s="37">
        <v>12365537.69</v>
      </c>
      <c r="N979" s="37"/>
      <c r="O979" s="37"/>
      <c r="P979" s="37"/>
      <c r="Q979" s="37">
        <v>12365537.69</v>
      </c>
      <c r="R979" s="37">
        <f t="shared" si="71"/>
        <v>1938.6886301992693</v>
      </c>
      <c r="S979" s="29">
        <v>14736.15</v>
      </c>
      <c r="T979" s="24" t="s">
        <v>1359</v>
      </c>
      <c r="U979" s="118">
        <v>6.3</v>
      </c>
      <c r="V979" s="296">
        <v>2020</v>
      </c>
    </row>
    <row r="980" spans="1:22" ht="120">
      <c r="A980" s="70">
        <v>198</v>
      </c>
      <c r="B980" s="82" t="s">
        <v>798</v>
      </c>
      <c r="C980" s="24">
        <v>1966</v>
      </c>
      <c r="D980" s="24">
        <v>2013</v>
      </c>
      <c r="E980" s="29" t="s">
        <v>374</v>
      </c>
      <c r="F980" s="24" t="s">
        <v>1073</v>
      </c>
      <c r="G980" s="24">
        <v>4</v>
      </c>
      <c r="H980" s="37">
        <v>3486.14</v>
      </c>
      <c r="I980" s="37">
        <v>3122.84</v>
      </c>
      <c r="J980" s="37">
        <v>2789.97</v>
      </c>
      <c r="K980" s="36">
        <v>198</v>
      </c>
      <c r="L980" s="24" t="s">
        <v>1277</v>
      </c>
      <c r="M980" s="37">
        <v>5358645.74</v>
      </c>
      <c r="N980" s="37"/>
      <c r="O980" s="37"/>
      <c r="P980" s="37"/>
      <c r="Q980" s="37">
        <v>5358645.74</v>
      </c>
      <c r="R980" s="37">
        <f t="shared" si="71"/>
        <v>1715.952703308527</v>
      </c>
      <c r="S980" s="29">
        <v>14736.15</v>
      </c>
      <c r="T980" s="24" t="s">
        <v>1359</v>
      </c>
      <c r="U980" s="118">
        <v>6.3</v>
      </c>
      <c r="V980" s="296">
        <v>2020</v>
      </c>
    </row>
    <row r="981" spans="1:22" ht="45">
      <c r="A981" s="70">
        <v>199</v>
      </c>
      <c r="B981" s="82" t="s">
        <v>799</v>
      </c>
      <c r="C981" s="24">
        <v>1985</v>
      </c>
      <c r="D981" s="24"/>
      <c r="E981" s="24" t="s">
        <v>494</v>
      </c>
      <c r="F981" s="24" t="s">
        <v>1077</v>
      </c>
      <c r="G981" s="24">
        <v>13</v>
      </c>
      <c r="H981" s="37">
        <v>28962.3</v>
      </c>
      <c r="I981" s="37">
        <v>25323</v>
      </c>
      <c r="J981" s="37">
        <v>22158.8</v>
      </c>
      <c r="K981" s="36">
        <v>1370</v>
      </c>
      <c r="L981" s="24" t="s">
        <v>1346</v>
      </c>
      <c r="M981" s="37">
        <v>28080000</v>
      </c>
      <c r="N981" s="37"/>
      <c r="O981" s="37"/>
      <c r="P981" s="37"/>
      <c r="Q981" s="37">
        <v>28080000</v>
      </c>
      <c r="R981" s="37">
        <v>352.21340283536705</v>
      </c>
      <c r="S981" s="29">
        <v>14736.15</v>
      </c>
      <c r="T981" s="29" t="s">
        <v>1359</v>
      </c>
      <c r="U981" s="118">
        <v>6.3</v>
      </c>
      <c r="V981" s="296">
        <v>2020</v>
      </c>
    </row>
    <row r="982" spans="1:22" ht="120">
      <c r="A982" s="70">
        <v>200</v>
      </c>
      <c r="B982" s="82" t="s">
        <v>1636</v>
      </c>
      <c r="C982" s="24">
        <v>1985</v>
      </c>
      <c r="D982" s="24"/>
      <c r="E982" s="24" t="s">
        <v>374</v>
      </c>
      <c r="F982" s="24" t="s">
        <v>1637</v>
      </c>
      <c r="G982" s="24">
        <v>1</v>
      </c>
      <c r="H982" s="37">
        <v>5820</v>
      </c>
      <c r="I982" s="37">
        <v>5092</v>
      </c>
      <c r="J982" s="37">
        <v>4655.3</v>
      </c>
      <c r="K982" s="36">
        <v>190</v>
      </c>
      <c r="L982" s="24" t="s">
        <v>82</v>
      </c>
      <c r="M982" s="37">
        <v>5685154.69</v>
      </c>
      <c r="N982" s="37"/>
      <c r="O982" s="37"/>
      <c r="P982" s="37"/>
      <c r="Q982" s="37">
        <v>5685154.69</v>
      </c>
      <c r="R982" s="37">
        <f>M982/I982</f>
        <v>1116.4875667714061</v>
      </c>
      <c r="S982" s="29">
        <v>14736.15</v>
      </c>
      <c r="T982" s="24" t="s">
        <v>1359</v>
      </c>
      <c r="U982" s="118">
        <v>6.3</v>
      </c>
      <c r="V982" s="296">
        <v>2020</v>
      </c>
    </row>
    <row r="983" spans="1:22" ht="195">
      <c r="A983" s="70">
        <v>201</v>
      </c>
      <c r="B983" s="82" t="s">
        <v>269</v>
      </c>
      <c r="C983" s="24">
        <v>1983</v>
      </c>
      <c r="D983" s="24"/>
      <c r="E983" s="24" t="s">
        <v>494</v>
      </c>
      <c r="F983" s="24" t="s">
        <v>1073</v>
      </c>
      <c r="G983" s="24">
        <v>6</v>
      </c>
      <c r="H983" s="37">
        <v>5007.3</v>
      </c>
      <c r="I983" s="37">
        <v>4543</v>
      </c>
      <c r="J983" s="37">
        <v>4424</v>
      </c>
      <c r="K983" s="36">
        <v>227</v>
      </c>
      <c r="L983" s="24" t="s">
        <v>1569</v>
      </c>
      <c r="M983" s="37">
        <v>8540905.56</v>
      </c>
      <c r="N983" s="37"/>
      <c r="O983" s="37"/>
      <c r="P983" s="37"/>
      <c r="Q983" s="37">
        <v>8540905.56</v>
      </c>
      <c r="R983" s="37">
        <f t="shared" si="71"/>
        <v>1880.0144309927362</v>
      </c>
      <c r="S983" s="29">
        <v>14736.15</v>
      </c>
      <c r="T983" s="24" t="s">
        <v>1359</v>
      </c>
      <c r="U983" s="118">
        <v>6.3</v>
      </c>
      <c r="V983" s="296">
        <v>2020</v>
      </c>
    </row>
    <row r="984" spans="1:22" ht="76.5" customHeight="1">
      <c r="A984" s="70">
        <v>202</v>
      </c>
      <c r="B984" s="82" t="s">
        <v>270</v>
      </c>
      <c r="C984" s="24">
        <v>1983</v>
      </c>
      <c r="D984" s="24"/>
      <c r="E984" s="29" t="s">
        <v>374</v>
      </c>
      <c r="F984" s="24" t="s">
        <v>271</v>
      </c>
      <c r="G984" s="24">
        <v>1</v>
      </c>
      <c r="H984" s="37">
        <v>5448</v>
      </c>
      <c r="I984" s="37">
        <v>4752</v>
      </c>
      <c r="J984" s="37">
        <v>4674.7</v>
      </c>
      <c r="K984" s="36">
        <v>204</v>
      </c>
      <c r="L984" s="24" t="s">
        <v>1278</v>
      </c>
      <c r="M984" s="37">
        <v>4590590.9</v>
      </c>
      <c r="N984" s="37"/>
      <c r="O984" s="37"/>
      <c r="P984" s="37"/>
      <c r="Q984" s="37">
        <v>4590590.9</v>
      </c>
      <c r="R984" s="37">
        <f t="shared" si="71"/>
        <v>966.0334385521886</v>
      </c>
      <c r="S984" s="29">
        <v>14736.15</v>
      </c>
      <c r="T984" s="24" t="s">
        <v>1359</v>
      </c>
      <c r="U984" s="118">
        <v>6.3</v>
      </c>
      <c r="V984" s="296">
        <v>2020</v>
      </c>
    </row>
    <row r="985" spans="1:22" ht="58.5" customHeight="1">
      <c r="A985" s="70">
        <v>203</v>
      </c>
      <c r="B985" s="82" t="s">
        <v>232</v>
      </c>
      <c r="C985" s="24">
        <v>1960</v>
      </c>
      <c r="D985" s="24">
        <v>2008</v>
      </c>
      <c r="E985" s="29" t="s">
        <v>374</v>
      </c>
      <c r="F985" s="24" t="s">
        <v>1072</v>
      </c>
      <c r="G985" s="24">
        <v>4</v>
      </c>
      <c r="H985" s="37">
        <v>2652.1</v>
      </c>
      <c r="I985" s="37">
        <v>2350.5</v>
      </c>
      <c r="J985" s="37">
        <v>2275.1</v>
      </c>
      <c r="K985" s="36">
        <v>67</v>
      </c>
      <c r="L985" s="24" t="s">
        <v>497</v>
      </c>
      <c r="M985" s="37">
        <v>2822092.69</v>
      </c>
      <c r="N985" s="37"/>
      <c r="O985" s="37"/>
      <c r="P985" s="37"/>
      <c r="Q985" s="37">
        <v>2822092.69</v>
      </c>
      <c r="R985" s="37">
        <f t="shared" si="71"/>
        <v>1200.635052116571</v>
      </c>
      <c r="S985" s="29">
        <v>14736.15</v>
      </c>
      <c r="T985" s="24" t="s">
        <v>1359</v>
      </c>
      <c r="U985" s="118">
        <v>6.3</v>
      </c>
      <c r="V985" s="296">
        <v>2020</v>
      </c>
    </row>
    <row r="986" spans="1:22" ht="55.5" customHeight="1">
      <c r="A986" s="70">
        <v>204</v>
      </c>
      <c r="B986" s="82" t="s">
        <v>258</v>
      </c>
      <c r="C986" s="24">
        <v>1968</v>
      </c>
      <c r="D986" s="24">
        <v>2009</v>
      </c>
      <c r="E986" s="29" t="s">
        <v>374</v>
      </c>
      <c r="F986" s="24" t="s">
        <v>1077</v>
      </c>
      <c r="G986" s="24">
        <v>1</v>
      </c>
      <c r="H986" s="37">
        <v>3044.2</v>
      </c>
      <c r="I986" s="37">
        <v>2741.9</v>
      </c>
      <c r="J986" s="37">
        <v>1976.1</v>
      </c>
      <c r="K986" s="36">
        <v>87</v>
      </c>
      <c r="L986" s="24" t="s">
        <v>384</v>
      </c>
      <c r="M986" s="37">
        <v>1235512.36</v>
      </c>
      <c r="N986" s="37"/>
      <c r="O986" s="37"/>
      <c r="P986" s="37"/>
      <c r="Q986" s="37">
        <v>1235512.36</v>
      </c>
      <c r="R986" s="37">
        <f t="shared" si="71"/>
        <v>450.6044567635581</v>
      </c>
      <c r="S986" s="29">
        <v>14736.15</v>
      </c>
      <c r="T986" s="24" t="s">
        <v>1359</v>
      </c>
      <c r="U986" s="118">
        <v>6.3</v>
      </c>
      <c r="V986" s="296">
        <v>2020</v>
      </c>
    </row>
    <row r="987" spans="1:22" ht="180">
      <c r="A987" s="70">
        <v>205</v>
      </c>
      <c r="B987" s="82" t="s">
        <v>272</v>
      </c>
      <c r="C987" s="24">
        <v>1969</v>
      </c>
      <c r="D987" s="24">
        <v>2015</v>
      </c>
      <c r="E987" s="29" t="s">
        <v>374</v>
      </c>
      <c r="F987" s="24" t="s">
        <v>1073</v>
      </c>
      <c r="G987" s="24">
        <v>1</v>
      </c>
      <c r="H987" s="37">
        <v>2214.81</v>
      </c>
      <c r="I987" s="37">
        <v>1996.71</v>
      </c>
      <c r="J987" s="37">
        <v>1816.14</v>
      </c>
      <c r="K987" s="36">
        <v>195</v>
      </c>
      <c r="L987" s="24" t="s">
        <v>666</v>
      </c>
      <c r="M987" s="37">
        <v>3873982.02</v>
      </c>
      <c r="N987" s="37"/>
      <c r="O987" s="37"/>
      <c r="P987" s="37"/>
      <c r="Q987" s="37">
        <v>3873982.02</v>
      </c>
      <c r="R987" s="37">
        <f t="shared" si="71"/>
        <v>1940.1826103940982</v>
      </c>
      <c r="S987" s="29">
        <v>14736.15</v>
      </c>
      <c r="T987" s="24" t="s">
        <v>1359</v>
      </c>
      <c r="U987" s="118">
        <v>6.3</v>
      </c>
      <c r="V987" s="296">
        <v>2020</v>
      </c>
    </row>
    <row r="988" spans="1:22" ht="103.5" customHeight="1">
      <c r="A988" s="70">
        <v>206</v>
      </c>
      <c r="B988" s="82" t="s">
        <v>273</v>
      </c>
      <c r="C988" s="24">
        <v>1970</v>
      </c>
      <c r="D988" s="24">
        <v>2008</v>
      </c>
      <c r="E988" s="29" t="s">
        <v>374</v>
      </c>
      <c r="F988" s="24" t="s">
        <v>1073</v>
      </c>
      <c r="G988" s="24">
        <v>4</v>
      </c>
      <c r="H988" s="37">
        <v>3866.9</v>
      </c>
      <c r="I988" s="37">
        <v>3598.9</v>
      </c>
      <c r="J988" s="37">
        <v>3287.9</v>
      </c>
      <c r="K988" s="36">
        <v>151</v>
      </c>
      <c r="L988" s="24" t="s">
        <v>1279</v>
      </c>
      <c r="M988" s="37">
        <v>4500515.96</v>
      </c>
      <c r="N988" s="37"/>
      <c r="O988" s="37"/>
      <c r="P988" s="37"/>
      <c r="Q988" s="37">
        <v>4500515.96</v>
      </c>
      <c r="R988" s="37">
        <f t="shared" si="71"/>
        <v>1250.525427213871</v>
      </c>
      <c r="S988" s="29">
        <v>14736.15</v>
      </c>
      <c r="T988" s="24" t="s">
        <v>1359</v>
      </c>
      <c r="U988" s="118">
        <v>6.3</v>
      </c>
      <c r="V988" s="296">
        <v>2020</v>
      </c>
    </row>
    <row r="989" spans="1:22" ht="54" customHeight="1">
      <c r="A989" s="70">
        <v>207</v>
      </c>
      <c r="B989" s="82" t="s">
        <v>274</v>
      </c>
      <c r="C989" s="24">
        <v>1967</v>
      </c>
      <c r="D989" s="24">
        <v>2009</v>
      </c>
      <c r="E989" s="24" t="s">
        <v>494</v>
      </c>
      <c r="F989" s="24" t="s">
        <v>1073</v>
      </c>
      <c r="G989" s="24">
        <v>3</v>
      </c>
      <c r="H989" s="37">
        <v>3594.6</v>
      </c>
      <c r="I989" s="37">
        <v>3396.9</v>
      </c>
      <c r="J989" s="37">
        <v>2818.3</v>
      </c>
      <c r="K989" s="36">
        <v>150</v>
      </c>
      <c r="L989" s="24" t="s">
        <v>497</v>
      </c>
      <c r="M989" s="37">
        <v>999890</v>
      </c>
      <c r="N989" s="37"/>
      <c r="O989" s="37"/>
      <c r="P989" s="37"/>
      <c r="Q989" s="37">
        <v>999890</v>
      </c>
      <c r="R989" s="37">
        <v>294.3536754099326</v>
      </c>
      <c r="S989" s="29">
        <v>14736.15</v>
      </c>
      <c r="T989" s="24" t="s">
        <v>1418</v>
      </c>
      <c r="U989" s="118">
        <v>1103652.9</v>
      </c>
      <c r="V989" s="296">
        <v>2020</v>
      </c>
    </row>
    <row r="990" spans="1:22" ht="52.5" customHeight="1">
      <c r="A990" s="70">
        <v>208</v>
      </c>
      <c r="B990" s="82" t="s">
        <v>679</v>
      </c>
      <c r="C990" s="24">
        <v>1983</v>
      </c>
      <c r="D990" s="24"/>
      <c r="E990" s="24" t="s">
        <v>494</v>
      </c>
      <c r="F990" s="24" t="s">
        <v>1077</v>
      </c>
      <c r="G990" s="24">
        <v>6</v>
      </c>
      <c r="H990" s="37">
        <v>13148.77</v>
      </c>
      <c r="I990" s="37">
        <v>11626.77</v>
      </c>
      <c r="J990" s="37">
        <v>10598.57</v>
      </c>
      <c r="K990" s="36">
        <v>741</v>
      </c>
      <c r="L990" s="24" t="s">
        <v>1346</v>
      </c>
      <c r="M990" s="37">
        <v>10728450</v>
      </c>
      <c r="N990" s="37"/>
      <c r="O990" s="37"/>
      <c r="P990" s="37"/>
      <c r="Q990" s="37">
        <v>10728450</v>
      </c>
      <c r="R990" s="37">
        <f t="shared" si="71"/>
        <v>922.7369252165477</v>
      </c>
      <c r="S990" s="29">
        <v>14736.15</v>
      </c>
      <c r="T990" s="24" t="s">
        <v>1359</v>
      </c>
      <c r="U990" s="118">
        <v>6.3</v>
      </c>
      <c r="V990" s="296">
        <v>2020</v>
      </c>
    </row>
    <row r="991" spans="1:22" ht="58.5" customHeight="1">
      <c r="A991" s="70">
        <v>209</v>
      </c>
      <c r="B991" s="82" t="s">
        <v>680</v>
      </c>
      <c r="C991" s="24">
        <v>1983</v>
      </c>
      <c r="D991" s="24"/>
      <c r="E991" s="24" t="s">
        <v>494</v>
      </c>
      <c r="F991" s="24" t="s">
        <v>1077</v>
      </c>
      <c r="G991" s="24">
        <v>6</v>
      </c>
      <c r="H991" s="37">
        <v>13185</v>
      </c>
      <c r="I991" s="37">
        <v>11552</v>
      </c>
      <c r="J991" s="37">
        <v>10362.8</v>
      </c>
      <c r="K991" s="36">
        <v>715</v>
      </c>
      <c r="L991" s="24" t="s">
        <v>1346</v>
      </c>
      <c r="M991" s="37">
        <v>10728450</v>
      </c>
      <c r="N991" s="37"/>
      <c r="O991" s="37"/>
      <c r="P991" s="37"/>
      <c r="Q991" s="37">
        <v>10728450</v>
      </c>
      <c r="R991" s="37">
        <f t="shared" si="71"/>
        <v>928.7093144044321</v>
      </c>
      <c r="S991" s="29">
        <v>14736.15</v>
      </c>
      <c r="T991" s="24" t="s">
        <v>1359</v>
      </c>
      <c r="U991" s="118">
        <v>6.3</v>
      </c>
      <c r="V991" s="296">
        <v>2020</v>
      </c>
    </row>
    <row r="992" spans="1:22" ht="45">
      <c r="A992" s="70">
        <v>210</v>
      </c>
      <c r="B992" s="82" t="s">
        <v>681</v>
      </c>
      <c r="C992" s="24">
        <v>1960</v>
      </c>
      <c r="D992" s="24">
        <v>2016</v>
      </c>
      <c r="E992" s="29" t="s">
        <v>374</v>
      </c>
      <c r="F992" s="24" t="s">
        <v>1073</v>
      </c>
      <c r="G992" s="24">
        <v>6</v>
      </c>
      <c r="H992" s="37">
        <v>5825.9</v>
      </c>
      <c r="I992" s="37">
        <v>5426.1</v>
      </c>
      <c r="J992" s="37">
        <v>5267</v>
      </c>
      <c r="K992" s="36">
        <v>197</v>
      </c>
      <c r="L992" s="24" t="s">
        <v>1559</v>
      </c>
      <c r="M992" s="37">
        <v>560866.2</v>
      </c>
      <c r="N992" s="37"/>
      <c r="O992" s="37"/>
      <c r="P992" s="37"/>
      <c r="Q992" s="37">
        <v>560866.2</v>
      </c>
      <c r="R992" s="37">
        <f t="shared" si="71"/>
        <v>103.3645159506828</v>
      </c>
      <c r="S992" s="29">
        <v>14736.15</v>
      </c>
      <c r="T992" s="24" t="s">
        <v>1359</v>
      </c>
      <c r="U992" s="118">
        <v>6.3</v>
      </c>
      <c r="V992" s="296">
        <v>2020</v>
      </c>
    </row>
    <row r="993" spans="1:22" ht="195">
      <c r="A993" s="70">
        <v>211</v>
      </c>
      <c r="B993" s="82" t="s">
        <v>682</v>
      </c>
      <c r="C993" s="24">
        <v>1982</v>
      </c>
      <c r="D993" s="24">
        <v>2011</v>
      </c>
      <c r="E993" s="29" t="s">
        <v>374</v>
      </c>
      <c r="F993" s="24" t="s">
        <v>1073</v>
      </c>
      <c r="G993" s="24">
        <v>1</v>
      </c>
      <c r="H993" s="37">
        <v>4671.54</v>
      </c>
      <c r="I993" s="37">
        <v>3784.54</v>
      </c>
      <c r="J993" s="37">
        <v>3326.01</v>
      </c>
      <c r="K993" s="36">
        <v>316</v>
      </c>
      <c r="L993" s="24" t="s">
        <v>667</v>
      </c>
      <c r="M993" s="37">
        <v>6938734.58</v>
      </c>
      <c r="N993" s="37"/>
      <c r="O993" s="37"/>
      <c r="P993" s="37"/>
      <c r="Q993" s="37">
        <v>6938734.58</v>
      </c>
      <c r="R993" s="37">
        <f t="shared" si="71"/>
        <v>1833.4419982349243</v>
      </c>
      <c r="S993" s="29">
        <v>14736.15</v>
      </c>
      <c r="T993" s="24" t="s">
        <v>1359</v>
      </c>
      <c r="U993" s="118">
        <v>6.3</v>
      </c>
      <c r="V993" s="296">
        <v>2020</v>
      </c>
    </row>
    <row r="994" spans="1:22" ht="45">
      <c r="A994" s="70">
        <v>212</v>
      </c>
      <c r="B994" s="82" t="s">
        <v>1147</v>
      </c>
      <c r="C994" s="24">
        <v>1984</v>
      </c>
      <c r="D994" s="24">
        <v>2009</v>
      </c>
      <c r="E994" s="29" t="s">
        <v>374</v>
      </c>
      <c r="F994" s="24" t="s">
        <v>275</v>
      </c>
      <c r="G994" s="24">
        <v>3</v>
      </c>
      <c r="H994" s="37">
        <v>10964.9</v>
      </c>
      <c r="I994" s="37">
        <v>9540.9</v>
      </c>
      <c r="J994" s="37">
        <v>6879.42</v>
      </c>
      <c r="K994" s="36">
        <v>357</v>
      </c>
      <c r="L994" s="24" t="s">
        <v>384</v>
      </c>
      <c r="M994" s="37">
        <v>3689817.32</v>
      </c>
      <c r="N994" s="37"/>
      <c r="O994" s="37"/>
      <c r="P994" s="37"/>
      <c r="Q994" s="37">
        <v>3689817.32</v>
      </c>
      <c r="R994" s="37">
        <f aca="true" t="shared" si="72" ref="R994:R1043">M994/I994</f>
        <v>386.73681937762683</v>
      </c>
      <c r="S994" s="29">
        <v>14736.15</v>
      </c>
      <c r="T994" s="24" t="s">
        <v>1359</v>
      </c>
      <c r="U994" s="118">
        <v>6.3</v>
      </c>
      <c r="V994" s="296">
        <v>2020</v>
      </c>
    </row>
    <row r="995" spans="1:22" ht="135">
      <c r="A995" s="70">
        <v>213</v>
      </c>
      <c r="B995" s="82" t="s">
        <v>276</v>
      </c>
      <c r="C995" s="24">
        <v>1985</v>
      </c>
      <c r="D995" s="24"/>
      <c r="E995" s="24" t="s">
        <v>494</v>
      </c>
      <c r="F995" s="24" t="s">
        <v>1077</v>
      </c>
      <c r="G995" s="24">
        <v>4</v>
      </c>
      <c r="H995" s="37">
        <v>8772.8</v>
      </c>
      <c r="I995" s="37">
        <v>7725.2</v>
      </c>
      <c r="J995" s="37">
        <v>7429</v>
      </c>
      <c r="K995" s="36">
        <v>369</v>
      </c>
      <c r="L995" s="24" t="s">
        <v>1295</v>
      </c>
      <c r="M995" s="37">
        <v>18691154</v>
      </c>
      <c r="N995" s="37"/>
      <c r="O995" s="37"/>
      <c r="P995" s="37"/>
      <c r="Q995" s="37">
        <v>18691154</v>
      </c>
      <c r="R995" s="37">
        <v>354.78693108269044</v>
      </c>
      <c r="S995" s="29">
        <v>14736.15</v>
      </c>
      <c r="T995" s="24" t="s">
        <v>1418</v>
      </c>
      <c r="U995" s="118">
        <v>6.3</v>
      </c>
      <c r="V995" s="296">
        <v>2020</v>
      </c>
    </row>
    <row r="996" spans="1:22" ht="45">
      <c r="A996" s="70">
        <v>214</v>
      </c>
      <c r="B996" s="82" t="s">
        <v>5</v>
      </c>
      <c r="C996" s="24">
        <v>1959</v>
      </c>
      <c r="D996" s="24"/>
      <c r="E996" s="29" t="s">
        <v>374</v>
      </c>
      <c r="F996" s="24" t="s">
        <v>1074</v>
      </c>
      <c r="G996" s="24">
        <v>2</v>
      </c>
      <c r="H996" s="37">
        <v>924.1</v>
      </c>
      <c r="I996" s="37">
        <v>824.5</v>
      </c>
      <c r="J996" s="37">
        <v>824.5</v>
      </c>
      <c r="K996" s="36">
        <v>20</v>
      </c>
      <c r="L996" s="24" t="s">
        <v>489</v>
      </c>
      <c r="M996" s="37">
        <v>1876947.95</v>
      </c>
      <c r="N996" s="37"/>
      <c r="O996" s="37"/>
      <c r="P996" s="37"/>
      <c r="Q996" s="37">
        <v>1876947.95</v>
      </c>
      <c r="R996" s="37">
        <f t="shared" si="72"/>
        <v>2276.468101879927</v>
      </c>
      <c r="S996" s="29">
        <v>14736.15</v>
      </c>
      <c r="T996" s="24" t="s">
        <v>1359</v>
      </c>
      <c r="U996" s="118">
        <v>6.3</v>
      </c>
      <c r="V996" s="296">
        <v>2020</v>
      </c>
    </row>
    <row r="997" spans="1:22" ht="120">
      <c r="A997" s="70">
        <v>215</v>
      </c>
      <c r="B997" s="82" t="s">
        <v>808</v>
      </c>
      <c r="C997" s="24">
        <v>1970</v>
      </c>
      <c r="D997" s="24"/>
      <c r="E997" s="29" t="s">
        <v>374</v>
      </c>
      <c r="F997" s="24" t="s">
        <v>1073</v>
      </c>
      <c r="G997" s="24">
        <v>4</v>
      </c>
      <c r="H997" s="37">
        <v>2729.6</v>
      </c>
      <c r="I997" s="37">
        <v>2433.6</v>
      </c>
      <c r="J997" s="37">
        <v>1857.1</v>
      </c>
      <c r="K997" s="36">
        <v>168</v>
      </c>
      <c r="L997" s="24" t="s">
        <v>773</v>
      </c>
      <c r="M997" s="37">
        <v>4533652.89</v>
      </c>
      <c r="N997" s="37"/>
      <c r="O997" s="37"/>
      <c r="P997" s="37"/>
      <c r="Q997" s="37">
        <v>4533652.89</v>
      </c>
      <c r="R997" s="37">
        <f t="shared" si="72"/>
        <v>1862.9408653846153</v>
      </c>
      <c r="S997" s="29">
        <v>14736.15</v>
      </c>
      <c r="T997" s="24" t="s">
        <v>1359</v>
      </c>
      <c r="U997" s="118">
        <v>6.3</v>
      </c>
      <c r="V997" s="296">
        <v>2020</v>
      </c>
    </row>
    <row r="998" spans="1:22" ht="45">
      <c r="A998" s="70">
        <v>216</v>
      </c>
      <c r="B998" s="82" t="s">
        <v>800</v>
      </c>
      <c r="C998" s="24">
        <v>1984</v>
      </c>
      <c r="D998" s="24"/>
      <c r="E998" s="24" t="s">
        <v>494</v>
      </c>
      <c r="F998" s="24" t="s">
        <v>1077</v>
      </c>
      <c r="G998" s="24">
        <v>6</v>
      </c>
      <c r="H998" s="37">
        <v>13521.44</v>
      </c>
      <c r="I998" s="37">
        <v>11831.44</v>
      </c>
      <c r="J998" s="37">
        <v>11015.52</v>
      </c>
      <c r="K998" s="36">
        <v>633</v>
      </c>
      <c r="L998" s="24" t="s">
        <v>1346</v>
      </c>
      <c r="M998" s="37">
        <v>10728450</v>
      </c>
      <c r="N998" s="37"/>
      <c r="O998" s="37"/>
      <c r="P998" s="37"/>
      <c r="Q998" s="37">
        <v>10728450</v>
      </c>
      <c r="R998" s="37">
        <f t="shared" si="72"/>
        <v>906.7746614106144</v>
      </c>
      <c r="S998" s="29">
        <v>14736.15</v>
      </c>
      <c r="T998" s="24" t="s">
        <v>1359</v>
      </c>
      <c r="U998" s="118">
        <v>6.3</v>
      </c>
      <c r="V998" s="296">
        <v>2020</v>
      </c>
    </row>
    <row r="999" spans="1:22" ht="45">
      <c r="A999" s="70">
        <v>217</v>
      </c>
      <c r="B999" s="82" t="s">
        <v>801</v>
      </c>
      <c r="C999" s="24">
        <v>1984</v>
      </c>
      <c r="D999" s="24">
        <v>2008</v>
      </c>
      <c r="E999" s="24" t="s">
        <v>494</v>
      </c>
      <c r="F999" s="24" t="s">
        <v>1077</v>
      </c>
      <c r="G999" s="24">
        <v>10</v>
      </c>
      <c r="H999" s="37">
        <v>22133.37</v>
      </c>
      <c r="I999" s="37">
        <v>19361.37</v>
      </c>
      <c r="J999" s="37">
        <v>17550.17</v>
      </c>
      <c r="K999" s="36">
        <v>1037</v>
      </c>
      <c r="L999" s="24" t="s">
        <v>1346</v>
      </c>
      <c r="M999" s="37">
        <v>17880750</v>
      </c>
      <c r="N999" s="37"/>
      <c r="O999" s="37"/>
      <c r="P999" s="37"/>
      <c r="Q999" s="37">
        <v>17880750</v>
      </c>
      <c r="R999" s="37">
        <f t="shared" si="72"/>
        <v>923.5271057781553</v>
      </c>
      <c r="S999" s="29">
        <v>14736.15</v>
      </c>
      <c r="T999" s="24" t="s">
        <v>1359</v>
      </c>
      <c r="U999" s="118">
        <v>6.3</v>
      </c>
      <c r="V999" s="296">
        <v>2020</v>
      </c>
    </row>
    <row r="1000" spans="1:22" ht="75">
      <c r="A1000" s="70">
        <v>218</v>
      </c>
      <c r="B1000" s="82" t="s">
        <v>802</v>
      </c>
      <c r="C1000" s="24">
        <v>1983</v>
      </c>
      <c r="D1000" s="24"/>
      <c r="E1000" s="24" t="s">
        <v>494</v>
      </c>
      <c r="F1000" s="24" t="s">
        <v>1077</v>
      </c>
      <c r="G1000" s="24">
        <v>6</v>
      </c>
      <c r="H1000" s="37">
        <v>13005.15</v>
      </c>
      <c r="I1000" s="37">
        <v>11384.65</v>
      </c>
      <c r="J1000" s="37">
        <v>10817.35</v>
      </c>
      <c r="K1000" s="36">
        <v>644</v>
      </c>
      <c r="L1000" s="24" t="s">
        <v>1347</v>
      </c>
      <c r="M1000" s="37">
        <v>15916669.18</v>
      </c>
      <c r="N1000" s="37"/>
      <c r="O1000" s="37"/>
      <c r="P1000" s="37"/>
      <c r="Q1000" s="37">
        <v>15916669.18</v>
      </c>
      <c r="R1000" s="37">
        <f t="shared" si="72"/>
        <v>1398.081555427703</v>
      </c>
      <c r="S1000" s="29">
        <v>14736.15</v>
      </c>
      <c r="T1000" s="24" t="s">
        <v>1359</v>
      </c>
      <c r="U1000" s="118">
        <v>6.3</v>
      </c>
      <c r="V1000" s="296">
        <v>2020</v>
      </c>
    </row>
    <row r="1001" spans="1:22" ht="45">
      <c r="A1001" s="70">
        <v>219</v>
      </c>
      <c r="B1001" s="82" t="s">
        <v>803</v>
      </c>
      <c r="C1001" s="24">
        <v>1983</v>
      </c>
      <c r="D1001" s="24">
        <v>2008</v>
      </c>
      <c r="E1001" s="24" t="s">
        <v>494</v>
      </c>
      <c r="F1001" s="24" t="s">
        <v>1077</v>
      </c>
      <c r="G1001" s="24">
        <v>12</v>
      </c>
      <c r="H1001" s="37">
        <v>25873.54</v>
      </c>
      <c r="I1001" s="37">
        <v>23047.74</v>
      </c>
      <c r="J1001" s="37">
        <v>21085.54</v>
      </c>
      <c r="K1001" s="36">
        <v>1283</v>
      </c>
      <c r="L1001" s="24" t="s">
        <v>1346</v>
      </c>
      <c r="M1001" s="37">
        <v>20905142.08</v>
      </c>
      <c r="N1001" s="37"/>
      <c r="O1001" s="37"/>
      <c r="P1001" s="37"/>
      <c r="Q1001" s="37">
        <v>20905142.08</v>
      </c>
      <c r="R1001" s="37">
        <f t="shared" si="72"/>
        <v>907.0365285273089</v>
      </c>
      <c r="S1001" s="29">
        <v>14736.15</v>
      </c>
      <c r="T1001" s="24" t="s">
        <v>1359</v>
      </c>
      <c r="U1001" s="118">
        <v>6.3</v>
      </c>
      <c r="V1001" s="296">
        <v>2020</v>
      </c>
    </row>
    <row r="1002" spans="1:22" ht="45">
      <c r="A1002" s="70">
        <v>220</v>
      </c>
      <c r="B1002" s="82" t="s">
        <v>804</v>
      </c>
      <c r="C1002" s="24">
        <v>1983</v>
      </c>
      <c r="D1002" s="24"/>
      <c r="E1002" s="24" t="s">
        <v>494</v>
      </c>
      <c r="F1002" s="24" t="s">
        <v>1077</v>
      </c>
      <c r="G1002" s="24">
        <v>8</v>
      </c>
      <c r="H1002" s="37">
        <v>17568.39</v>
      </c>
      <c r="I1002" s="37">
        <v>15475.39</v>
      </c>
      <c r="J1002" s="37">
        <v>14881.83</v>
      </c>
      <c r="K1002" s="36">
        <v>834</v>
      </c>
      <c r="L1002" s="24" t="s">
        <v>1346</v>
      </c>
      <c r="M1002" s="37">
        <v>14081049.59</v>
      </c>
      <c r="N1002" s="37"/>
      <c r="O1002" s="37"/>
      <c r="P1002" s="37"/>
      <c r="Q1002" s="37">
        <v>14081049.59</v>
      </c>
      <c r="R1002" s="37">
        <f t="shared" si="72"/>
        <v>909.8994978478734</v>
      </c>
      <c r="S1002" s="29">
        <v>14736.15</v>
      </c>
      <c r="T1002" s="24" t="s">
        <v>1359</v>
      </c>
      <c r="U1002" s="118">
        <v>6.3</v>
      </c>
      <c r="V1002" s="296">
        <v>2020</v>
      </c>
    </row>
    <row r="1003" spans="1:22" ht="45">
      <c r="A1003" s="70">
        <v>221</v>
      </c>
      <c r="B1003" s="82" t="s">
        <v>683</v>
      </c>
      <c r="C1003" s="24">
        <v>1967</v>
      </c>
      <c r="D1003" s="24">
        <v>2016</v>
      </c>
      <c r="E1003" s="29" t="s">
        <v>374</v>
      </c>
      <c r="F1003" s="24" t="s">
        <v>1073</v>
      </c>
      <c r="G1003" s="24">
        <v>3</v>
      </c>
      <c r="H1003" s="37">
        <v>2706.2</v>
      </c>
      <c r="I1003" s="37">
        <v>2476.2</v>
      </c>
      <c r="J1003" s="37">
        <v>2127.9</v>
      </c>
      <c r="K1003" s="36">
        <v>138</v>
      </c>
      <c r="L1003" s="24" t="s">
        <v>497</v>
      </c>
      <c r="M1003" s="37">
        <v>2966883.63</v>
      </c>
      <c r="N1003" s="37"/>
      <c r="O1003" s="37"/>
      <c r="P1003" s="37"/>
      <c r="Q1003" s="37">
        <v>2966883.63</v>
      </c>
      <c r="R1003" s="37">
        <f t="shared" si="72"/>
        <v>1198.1599345771747</v>
      </c>
      <c r="S1003" s="29">
        <v>14736.15</v>
      </c>
      <c r="T1003" s="24" t="s">
        <v>1359</v>
      </c>
      <c r="U1003" s="118">
        <v>6.3</v>
      </c>
      <c r="V1003" s="296">
        <v>2020</v>
      </c>
    </row>
    <row r="1004" spans="1:22" ht="120">
      <c r="A1004" s="70">
        <v>222</v>
      </c>
      <c r="B1004" s="82" t="s">
        <v>805</v>
      </c>
      <c r="C1004" s="24">
        <v>1969</v>
      </c>
      <c r="D1004" s="24">
        <v>2015</v>
      </c>
      <c r="E1004" s="29" t="s">
        <v>374</v>
      </c>
      <c r="F1004" s="24" t="s">
        <v>1073</v>
      </c>
      <c r="G1004" s="24">
        <v>3</v>
      </c>
      <c r="H1004" s="37">
        <v>3742.78</v>
      </c>
      <c r="I1004" s="37">
        <v>3515.78</v>
      </c>
      <c r="J1004" s="37">
        <v>3356.92</v>
      </c>
      <c r="K1004" s="36">
        <v>259</v>
      </c>
      <c r="L1004" s="24" t="s">
        <v>326</v>
      </c>
      <c r="M1004" s="37">
        <v>3378946.58</v>
      </c>
      <c r="N1004" s="37"/>
      <c r="O1004" s="37"/>
      <c r="P1004" s="37"/>
      <c r="Q1004" s="37">
        <v>3378946.58</v>
      </c>
      <c r="R1004" s="37">
        <f t="shared" si="72"/>
        <v>961.0802097969724</v>
      </c>
      <c r="S1004" s="29">
        <v>14736.15</v>
      </c>
      <c r="T1004" s="24" t="s">
        <v>1359</v>
      </c>
      <c r="U1004" s="118">
        <v>6.3</v>
      </c>
      <c r="V1004" s="296">
        <v>2020</v>
      </c>
    </row>
    <row r="1005" spans="1:22" ht="45">
      <c r="A1005" s="70">
        <v>223</v>
      </c>
      <c r="B1005" s="82" t="s">
        <v>684</v>
      </c>
      <c r="C1005" s="24">
        <v>1960</v>
      </c>
      <c r="D1005" s="24"/>
      <c r="E1005" s="29" t="s">
        <v>374</v>
      </c>
      <c r="F1005" s="24" t="s">
        <v>1078</v>
      </c>
      <c r="G1005" s="24">
        <v>1</v>
      </c>
      <c r="H1005" s="37">
        <v>310.6</v>
      </c>
      <c r="I1005" s="37">
        <v>286.6</v>
      </c>
      <c r="J1005" s="37">
        <v>286.6</v>
      </c>
      <c r="K1005" s="36">
        <v>17</v>
      </c>
      <c r="L1005" s="24" t="s">
        <v>497</v>
      </c>
      <c r="M1005" s="37">
        <v>878115.91</v>
      </c>
      <c r="N1005" s="37"/>
      <c r="O1005" s="37"/>
      <c r="P1005" s="37"/>
      <c r="Q1005" s="37">
        <v>878115.91</v>
      </c>
      <c r="R1005" s="37">
        <f t="shared" si="72"/>
        <v>3063.9075715282625</v>
      </c>
      <c r="S1005" s="29">
        <v>14736.15</v>
      </c>
      <c r="T1005" s="24" t="s">
        <v>1359</v>
      </c>
      <c r="U1005" s="118">
        <v>6.3</v>
      </c>
      <c r="V1005" s="296">
        <v>2020</v>
      </c>
    </row>
    <row r="1006" spans="1:22" ht="45">
      <c r="A1006" s="70">
        <v>224</v>
      </c>
      <c r="B1006" s="82" t="s">
        <v>685</v>
      </c>
      <c r="C1006" s="24">
        <v>1959</v>
      </c>
      <c r="D1006" s="24"/>
      <c r="E1006" s="29" t="s">
        <v>374</v>
      </c>
      <c r="F1006" s="24" t="s">
        <v>1078</v>
      </c>
      <c r="G1006" s="24">
        <v>1</v>
      </c>
      <c r="H1006" s="37">
        <v>321.9</v>
      </c>
      <c r="I1006" s="37">
        <v>288.3</v>
      </c>
      <c r="J1006" s="37">
        <v>254.7</v>
      </c>
      <c r="K1006" s="36">
        <v>16</v>
      </c>
      <c r="L1006" s="24" t="s">
        <v>497</v>
      </c>
      <c r="M1006" s="37">
        <v>910580.47</v>
      </c>
      <c r="N1006" s="37"/>
      <c r="O1006" s="37"/>
      <c r="P1006" s="37"/>
      <c r="Q1006" s="37">
        <v>910580.47</v>
      </c>
      <c r="R1006" s="37">
        <f t="shared" si="72"/>
        <v>3158.4476933749565</v>
      </c>
      <c r="S1006" s="29">
        <v>14736.15</v>
      </c>
      <c r="T1006" s="24" t="s">
        <v>1359</v>
      </c>
      <c r="U1006" s="118">
        <v>6.3</v>
      </c>
      <c r="V1006" s="296">
        <v>2020</v>
      </c>
    </row>
    <row r="1007" spans="1:22" ht="135">
      <c r="A1007" s="70">
        <v>225</v>
      </c>
      <c r="B1007" s="82" t="s">
        <v>806</v>
      </c>
      <c r="C1007" s="24">
        <v>1974</v>
      </c>
      <c r="D1007" s="24"/>
      <c r="E1007" s="24" t="s">
        <v>494</v>
      </c>
      <c r="F1007" s="24" t="s">
        <v>1073</v>
      </c>
      <c r="G1007" s="24">
        <v>10</v>
      </c>
      <c r="H1007" s="37">
        <v>8398.84</v>
      </c>
      <c r="I1007" s="37">
        <v>7508.84</v>
      </c>
      <c r="J1007" s="37">
        <v>7130.94</v>
      </c>
      <c r="K1007" s="36">
        <v>379</v>
      </c>
      <c r="L1007" s="24" t="s">
        <v>327</v>
      </c>
      <c r="M1007" s="37">
        <v>10993216.47</v>
      </c>
      <c r="N1007" s="37"/>
      <c r="O1007" s="37"/>
      <c r="P1007" s="37"/>
      <c r="Q1007" s="37">
        <v>10993216.47</v>
      </c>
      <c r="R1007" s="37">
        <f t="shared" si="72"/>
        <v>1464.0365848786232</v>
      </c>
      <c r="S1007" s="29">
        <v>14736.15</v>
      </c>
      <c r="T1007" s="24" t="s">
        <v>1359</v>
      </c>
      <c r="U1007" s="118">
        <v>6.3</v>
      </c>
      <c r="V1007" s="296">
        <v>2020</v>
      </c>
    </row>
    <row r="1008" spans="1:22" ht="105">
      <c r="A1008" s="70">
        <v>226</v>
      </c>
      <c r="B1008" s="82" t="s">
        <v>781</v>
      </c>
      <c r="C1008" s="24">
        <v>1960</v>
      </c>
      <c r="D1008" s="24"/>
      <c r="E1008" s="29" t="s">
        <v>374</v>
      </c>
      <c r="F1008" s="24" t="s">
        <v>1073</v>
      </c>
      <c r="G1008" s="24">
        <v>4</v>
      </c>
      <c r="H1008" s="37">
        <v>5934</v>
      </c>
      <c r="I1008" s="37">
        <v>5305.2</v>
      </c>
      <c r="J1008" s="37">
        <v>5305.2</v>
      </c>
      <c r="K1008" s="36">
        <v>151</v>
      </c>
      <c r="L1008" s="24" t="s">
        <v>390</v>
      </c>
      <c r="M1008" s="37">
        <v>3684540.36</v>
      </c>
      <c r="N1008" s="37"/>
      <c r="O1008" s="37"/>
      <c r="P1008" s="37"/>
      <c r="Q1008" s="37">
        <v>3684540.36</v>
      </c>
      <c r="R1008" s="37">
        <f t="shared" si="72"/>
        <v>694.514883510518</v>
      </c>
      <c r="S1008" s="29">
        <v>14736.15</v>
      </c>
      <c r="T1008" s="24" t="s">
        <v>1359</v>
      </c>
      <c r="U1008" s="118">
        <v>6.3</v>
      </c>
      <c r="V1008" s="296">
        <v>2020</v>
      </c>
    </row>
    <row r="1009" spans="1:22" ht="45">
      <c r="A1009" s="70">
        <v>227</v>
      </c>
      <c r="B1009" s="82" t="s">
        <v>325</v>
      </c>
      <c r="C1009" s="24">
        <v>1975</v>
      </c>
      <c r="D1009" s="24">
        <v>2016</v>
      </c>
      <c r="E1009" s="24" t="s">
        <v>494</v>
      </c>
      <c r="F1009" s="24" t="s">
        <v>1073</v>
      </c>
      <c r="G1009" s="24">
        <v>6</v>
      </c>
      <c r="H1009" s="37">
        <v>5060.8</v>
      </c>
      <c r="I1009" s="37">
        <v>4559.8</v>
      </c>
      <c r="J1009" s="37">
        <v>4342.8</v>
      </c>
      <c r="K1009" s="36">
        <v>217</v>
      </c>
      <c r="L1009" s="24" t="s">
        <v>1069</v>
      </c>
      <c r="M1009" s="37">
        <v>1492342.93</v>
      </c>
      <c r="N1009" s="37"/>
      <c r="O1009" s="37"/>
      <c r="P1009" s="37"/>
      <c r="Q1009" s="37">
        <v>1492342.93</v>
      </c>
      <c r="R1009" s="37">
        <f t="shared" si="72"/>
        <v>327.2825409009167</v>
      </c>
      <c r="S1009" s="29">
        <v>14736.15</v>
      </c>
      <c r="T1009" s="24" t="s">
        <v>1359</v>
      </c>
      <c r="U1009" s="118">
        <v>6.3</v>
      </c>
      <c r="V1009" s="296">
        <v>2020</v>
      </c>
    </row>
    <row r="1010" spans="1:22" ht="45">
      <c r="A1010" s="70">
        <v>228</v>
      </c>
      <c r="B1010" s="82" t="s">
        <v>526</v>
      </c>
      <c r="C1010" s="24">
        <v>1980</v>
      </c>
      <c r="D1010" s="24">
        <v>2019</v>
      </c>
      <c r="E1010" s="24" t="s">
        <v>494</v>
      </c>
      <c r="F1010" s="24">
        <v>9</v>
      </c>
      <c r="G1010" s="24">
        <v>7</v>
      </c>
      <c r="H1010" s="37">
        <f>I1010+2203.2</f>
        <v>15967.59</v>
      </c>
      <c r="I1010" s="37">
        <v>13764.39</v>
      </c>
      <c r="J1010" s="37">
        <v>13077.7</v>
      </c>
      <c r="K1010" s="36">
        <v>633</v>
      </c>
      <c r="L1010" s="24" t="s">
        <v>1069</v>
      </c>
      <c r="M1010" s="37">
        <v>13089687.65</v>
      </c>
      <c r="N1010" s="82"/>
      <c r="O1010" s="82"/>
      <c r="P1010" s="82"/>
      <c r="Q1010" s="37">
        <v>13089687.65</v>
      </c>
      <c r="R1010" s="37">
        <f t="shared" si="72"/>
        <v>950.9820377074466</v>
      </c>
      <c r="S1010" s="29">
        <v>14736.15</v>
      </c>
      <c r="T1010" s="29" t="s">
        <v>1359</v>
      </c>
      <c r="U1010" s="83">
        <v>6.3</v>
      </c>
      <c r="V1010" s="296">
        <v>2020</v>
      </c>
    </row>
    <row r="1011" spans="1:22" ht="45">
      <c r="A1011" s="70">
        <v>229</v>
      </c>
      <c r="B1011" s="82" t="s">
        <v>539</v>
      </c>
      <c r="C1011" s="24">
        <v>1964</v>
      </c>
      <c r="D1011" s="24"/>
      <c r="E1011" s="24" t="s">
        <v>374</v>
      </c>
      <c r="F1011" s="24">
        <v>4</v>
      </c>
      <c r="G1011" s="24">
        <v>3</v>
      </c>
      <c r="H1011" s="37">
        <f>I1011+171.3</f>
        <v>2178.9</v>
      </c>
      <c r="I1011" s="37">
        <v>2007.6</v>
      </c>
      <c r="J1011" s="37">
        <v>1624.7</v>
      </c>
      <c r="K1011" s="36">
        <v>113</v>
      </c>
      <c r="L1011" s="24" t="s">
        <v>497</v>
      </c>
      <c r="M1011" s="37">
        <v>3154268.5</v>
      </c>
      <c r="N1011" s="82"/>
      <c r="O1011" s="82"/>
      <c r="P1011" s="82"/>
      <c r="Q1011" s="37">
        <v>3154268.5</v>
      </c>
      <c r="R1011" s="37">
        <f t="shared" si="72"/>
        <v>1571.1638274556685</v>
      </c>
      <c r="S1011" s="29">
        <v>14736.15</v>
      </c>
      <c r="T1011" s="29" t="s">
        <v>1359</v>
      </c>
      <c r="U1011" s="83">
        <v>6.3</v>
      </c>
      <c r="V1011" s="296">
        <v>2020</v>
      </c>
    </row>
    <row r="1012" spans="1:22" ht="45">
      <c r="A1012" s="70">
        <v>230</v>
      </c>
      <c r="B1012" s="82" t="s">
        <v>259</v>
      </c>
      <c r="C1012" s="24">
        <v>1971</v>
      </c>
      <c r="D1012" s="24"/>
      <c r="E1012" s="24" t="s">
        <v>374</v>
      </c>
      <c r="F1012" s="24">
        <v>5</v>
      </c>
      <c r="G1012" s="24">
        <v>8</v>
      </c>
      <c r="H1012" s="37">
        <f>I1012+622</f>
        <v>7030.72</v>
      </c>
      <c r="I1012" s="37">
        <v>6408.72</v>
      </c>
      <c r="J1012" s="37">
        <v>5401.61</v>
      </c>
      <c r="K1012" s="36">
        <v>365</v>
      </c>
      <c r="L1012" s="24" t="s">
        <v>497</v>
      </c>
      <c r="M1012" s="37">
        <v>7248735.09</v>
      </c>
      <c r="N1012" s="82"/>
      <c r="O1012" s="82"/>
      <c r="P1012" s="82"/>
      <c r="Q1012" s="37">
        <v>7248735.09</v>
      </c>
      <c r="R1012" s="37">
        <f t="shared" si="72"/>
        <v>1131.0737698011458</v>
      </c>
      <c r="S1012" s="29">
        <v>14736.15</v>
      </c>
      <c r="T1012" s="29" t="s">
        <v>1359</v>
      </c>
      <c r="U1012" s="83">
        <v>6.3</v>
      </c>
      <c r="V1012" s="296">
        <v>2020</v>
      </c>
    </row>
    <row r="1013" spans="1:22" ht="45">
      <c r="A1013" s="70">
        <v>231</v>
      </c>
      <c r="B1013" s="82" t="s">
        <v>260</v>
      </c>
      <c r="C1013" s="24">
        <v>1972</v>
      </c>
      <c r="D1013" s="24"/>
      <c r="E1013" s="24" t="s">
        <v>374</v>
      </c>
      <c r="F1013" s="24">
        <v>5</v>
      </c>
      <c r="G1013" s="24">
        <v>6</v>
      </c>
      <c r="H1013" s="37">
        <f>I1013+450.6</f>
        <v>4892</v>
      </c>
      <c r="I1013" s="37">
        <v>4441.4</v>
      </c>
      <c r="J1013" s="37">
        <v>4074.65</v>
      </c>
      <c r="K1013" s="36">
        <v>239</v>
      </c>
      <c r="L1013" s="24" t="s">
        <v>497</v>
      </c>
      <c r="M1013" s="37">
        <v>1854982.73</v>
      </c>
      <c r="N1013" s="82"/>
      <c r="O1013" s="82"/>
      <c r="P1013" s="82"/>
      <c r="Q1013" s="37">
        <v>1854982.73</v>
      </c>
      <c r="R1013" s="37">
        <f t="shared" si="72"/>
        <v>417.6572094384654</v>
      </c>
      <c r="S1013" s="29">
        <v>14736.15</v>
      </c>
      <c r="T1013" s="29" t="s">
        <v>1359</v>
      </c>
      <c r="U1013" s="83">
        <v>6.3</v>
      </c>
      <c r="V1013" s="296">
        <v>2020</v>
      </c>
    </row>
    <row r="1014" spans="1:22" ht="45">
      <c r="A1014" s="70">
        <v>232</v>
      </c>
      <c r="B1014" s="82" t="s">
        <v>527</v>
      </c>
      <c r="C1014" s="24">
        <v>1985</v>
      </c>
      <c r="D1014" s="24"/>
      <c r="E1014" s="24" t="s">
        <v>374</v>
      </c>
      <c r="F1014" s="24">
        <v>14</v>
      </c>
      <c r="G1014" s="24">
        <v>1</v>
      </c>
      <c r="H1014" s="37">
        <f>I1014+355.6</f>
        <v>3951</v>
      </c>
      <c r="I1014" s="37">
        <v>3595.4</v>
      </c>
      <c r="J1014" s="37">
        <v>3595.4</v>
      </c>
      <c r="K1014" s="36">
        <v>204</v>
      </c>
      <c r="L1014" s="24" t="s">
        <v>1346</v>
      </c>
      <c r="M1014" s="37">
        <v>4557190.27</v>
      </c>
      <c r="N1014" s="82"/>
      <c r="O1014" s="82"/>
      <c r="P1014" s="82"/>
      <c r="Q1014" s="37">
        <v>4557190.27</v>
      </c>
      <c r="R1014" s="37">
        <f t="shared" si="72"/>
        <v>1267.5057768259442</v>
      </c>
      <c r="S1014" s="29">
        <v>14736.15</v>
      </c>
      <c r="T1014" s="29" t="s">
        <v>1359</v>
      </c>
      <c r="U1014" s="83">
        <v>6.3</v>
      </c>
      <c r="V1014" s="296">
        <v>2020</v>
      </c>
    </row>
    <row r="1015" spans="1:22" ht="45">
      <c r="A1015" s="70">
        <v>233</v>
      </c>
      <c r="B1015" s="82" t="s">
        <v>528</v>
      </c>
      <c r="C1015" s="24">
        <v>1984</v>
      </c>
      <c r="D1015" s="24"/>
      <c r="E1015" s="24" t="s">
        <v>374</v>
      </c>
      <c r="F1015" s="24">
        <v>14</v>
      </c>
      <c r="G1015" s="24">
        <v>1</v>
      </c>
      <c r="H1015" s="37">
        <f>I1015+622</f>
        <v>4196.4</v>
      </c>
      <c r="I1015" s="37">
        <v>3574.4</v>
      </c>
      <c r="J1015" s="37">
        <v>3574.4</v>
      </c>
      <c r="K1015" s="36">
        <v>169</v>
      </c>
      <c r="L1015" s="24" t="s">
        <v>1346</v>
      </c>
      <c r="M1015" s="37">
        <v>7236219.39</v>
      </c>
      <c r="N1015" s="82"/>
      <c r="O1015" s="82"/>
      <c r="P1015" s="82"/>
      <c r="Q1015" s="37">
        <v>7236219.39</v>
      </c>
      <c r="R1015" s="37">
        <f t="shared" si="72"/>
        <v>2024.4570809086838</v>
      </c>
      <c r="S1015" s="29">
        <v>14736.15</v>
      </c>
      <c r="T1015" s="29" t="s">
        <v>1359</v>
      </c>
      <c r="U1015" s="83">
        <v>6.3</v>
      </c>
      <c r="V1015" s="296">
        <v>2020</v>
      </c>
    </row>
    <row r="1016" spans="1:22" ht="45">
      <c r="A1016" s="70">
        <v>234</v>
      </c>
      <c r="B1016" s="82" t="s">
        <v>529</v>
      </c>
      <c r="C1016" s="24">
        <v>1994</v>
      </c>
      <c r="D1016" s="24"/>
      <c r="E1016" s="24" t="s">
        <v>374</v>
      </c>
      <c r="F1016" s="24">
        <v>10</v>
      </c>
      <c r="G1016" s="24">
        <v>1</v>
      </c>
      <c r="H1016" s="37">
        <f>I1016+303</f>
        <v>3104.7</v>
      </c>
      <c r="I1016" s="37">
        <v>2801.7</v>
      </c>
      <c r="J1016" s="37">
        <v>2801.7</v>
      </c>
      <c r="K1016" s="36">
        <v>142</v>
      </c>
      <c r="L1016" s="24" t="s">
        <v>1346</v>
      </c>
      <c r="M1016" s="37">
        <v>1911320.78</v>
      </c>
      <c r="N1016" s="82"/>
      <c r="O1016" s="82"/>
      <c r="P1016" s="82"/>
      <c r="Q1016" s="37">
        <v>1911320.78</v>
      </c>
      <c r="R1016" s="37">
        <f t="shared" si="72"/>
        <v>682.2003712031981</v>
      </c>
      <c r="S1016" s="29">
        <v>14736.15</v>
      </c>
      <c r="T1016" s="29" t="s">
        <v>1359</v>
      </c>
      <c r="U1016" s="83">
        <v>6.3</v>
      </c>
      <c r="V1016" s="296">
        <v>2020</v>
      </c>
    </row>
    <row r="1017" spans="1:22" ht="45">
      <c r="A1017" s="70">
        <v>235</v>
      </c>
      <c r="B1017" s="82" t="s">
        <v>530</v>
      </c>
      <c r="C1017" s="24">
        <v>1992</v>
      </c>
      <c r="D1017" s="24"/>
      <c r="E1017" s="24" t="s">
        <v>374</v>
      </c>
      <c r="F1017" s="24" t="s">
        <v>521</v>
      </c>
      <c r="G1017" s="24">
        <v>8</v>
      </c>
      <c r="H1017" s="37">
        <f>I1017+2402.2</f>
        <v>19580.100000000002</v>
      </c>
      <c r="I1017" s="37">
        <v>17177.9</v>
      </c>
      <c r="J1017" s="37">
        <v>16792.21</v>
      </c>
      <c r="K1017" s="36">
        <v>853</v>
      </c>
      <c r="L1017" s="24" t="s">
        <v>1346</v>
      </c>
      <c r="M1017" s="37">
        <v>13504996.87</v>
      </c>
      <c r="N1017" s="82"/>
      <c r="O1017" s="82"/>
      <c r="P1017" s="82"/>
      <c r="Q1017" s="37">
        <v>13504996.87</v>
      </c>
      <c r="R1017" s="37">
        <f t="shared" si="72"/>
        <v>786.1843921550363</v>
      </c>
      <c r="S1017" s="29">
        <v>14736.15</v>
      </c>
      <c r="T1017" s="29" t="s">
        <v>1359</v>
      </c>
      <c r="U1017" s="83">
        <v>6.3</v>
      </c>
      <c r="V1017" s="296">
        <v>2020</v>
      </c>
    </row>
    <row r="1018" spans="1:22" ht="45">
      <c r="A1018" s="70">
        <v>236</v>
      </c>
      <c r="B1018" s="82" t="s">
        <v>1632</v>
      </c>
      <c r="C1018" s="24">
        <v>1967</v>
      </c>
      <c r="D1018" s="24"/>
      <c r="E1018" s="24" t="s">
        <v>494</v>
      </c>
      <c r="F1018" s="24">
        <v>5</v>
      </c>
      <c r="G1018" s="24">
        <v>6</v>
      </c>
      <c r="H1018" s="37">
        <f>I1018+522</f>
        <v>6233.3</v>
      </c>
      <c r="I1018" s="37">
        <v>5711.3</v>
      </c>
      <c r="J1018" s="37">
        <v>5711.3</v>
      </c>
      <c r="K1018" s="36">
        <v>304</v>
      </c>
      <c r="L1018" s="24" t="s">
        <v>536</v>
      </c>
      <c r="M1018" s="37">
        <v>1108826.16</v>
      </c>
      <c r="N1018" s="82"/>
      <c r="O1018" s="82"/>
      <c r="P1018" s="82"/>
      <c r="Q1018" s="37">
        <v>1108826.16</v>
      </c>
      <c r="R1018" s="37">
        <f t="shared" si="72"/>
        <v>194.14601929508166</v>
      </c>
      <c r="S1018" s="29">
        <v>14736.15</v>
      </c>
      <c r="T1018" s="29" t="s">
        <v>1359</v>
      </c>
      <c r="U1018" s="83">
        <v>6.3</v>
      </c>
      <c r="V1018" s="296">
        <v>2020</v>
      </c>
    </row>
    <row r="1019" spans="1:22" ht="90">
      <c r="A1019" s="70">
        <v>237</v>
      </c>
      <c r="B1019" s="82" t="s">
        <v>261</v>
      </c>
      <c r="C1019" s="24">
        <v>1983</v>
      </c>
      <c r="D1019" s="24"/>
      <c r="E1019" s="24" t="s">
        <v>374</v>
      </c>
      <c r="F1019" s="24">
        <v>5</v>
      </c>
      <c r="G1019" s="24">
        <v>6</v>
      </c>
      <c r="H1019" s="37">
        <f>I1019+516</f>
        <v>4402.8</v>
      </c>
      <c r="I1019" s="37">
        <v>3886.8</v>
      </c>
      <c r="J1019" s="37">
        <v>3433.13</v>
      </c>
      <c r="K1019" s="36">
        <v>168</v>
      </c>
      <c r="L1019" s="24" t="s">
        <v>522</v>
      </c>
      <c r="M1019" s="37">
        <v>3528852.44</v>
      </c>
      <c r="N1019" s="82"/>
      <c r="O1019" s="82"/>
      <c r="P1019" s="82"/>
      <c r="Q1019" s="37">
        <v>3528852.44</v>
      </c>
      <c r="R1019" s="37">
        <f t="shared" si="72"/>
        <v>907.9068745497581</v>
      </c>
      <c r="S1019" s="29">
        <v>14736.15</v>
      </c>
      <c r="T1019" s="29" t="s">
        <v>1359</v>
      </c>
      <c r="U1019" s="83">
        <v>6.3</v>
      </c>
      <c r="V1019" s="296">
        <v>2020</v>
      </c>
    </row>
    <row r="1020" spans="1:22" ht="45">
      <c r="A1020" s="70">
        <v>238</v>
      </c>
      <c r="B1020" s="82" t="s">
        <v>262</v>
      </c>
      <c r="C1020" s="24">
        <v>1984</v>
      </c>
      <c r="D1020" s="24"/>
      <c r="E1020" s="24" t="s">
        <v>494</v>
      </c>
      <c r="F1020" s="24">
        <v>9</v>
      </c>
      <c r="G1020" s="24">
        <v>6</v>
      </c>
      <c r="H1020" s="37">
        <f>I1020+1731.3</f>
        <v>13370.009999999998</v>
      </c>
      <c r="I1020" s="37">
        <v>11638.71</v>
      </c>
      <c r="J1020" s="37">
        <v>10516.31</v>
      </c>
      <c r="K1020" s="36">
        <v>561</v>
      </c>
      <c r="L1020" s="24" t="s">
        <v>1346</v>
      </c>
      <c r="M1020" s="37">
        <v>11009774.69</v>
      </c>
      <c r="N1020" s="82"/>
      <c r="O1020" s="82"/>
      <c r="P1020" s="82"/>
      <c r="Q1020" s="37">
        <v>11009774.69</v>
      </c>
      <c r="R1020" s="37">
        <f t="shared" si="72"/>
        <v>945.9617680997293</v>
      </c>
      <c r="S1020" s="29">
        <v>14736.15</v>
      </c>
      <c r="T1020" s="29" t="s">
        <v>1359</v>
      </c>
      <c r="U1020" s="83">
        <v>6.3</v>
      </c>
      <c r="V1020" s="296">
        <v>2020</v>
      </c>
    </row>
    <row r="1021" spans="1:22" ht="93.75" customHeight="1">
      <c r="A1021" s="70">
        <v>239</v>
      </c>
      <c r="B1021" s="82" t="s">
        <v>263</v>
      </c>
      <c r="C1021" s="24">
        <v>1990</v>
      </c>
      <c r="D1021" s="24"/>
      <c r="E1021" s="24" t="s">
        <v>374</v>
      </c>
      <c r="F1021" s="24">
        <v>9</v>
      </c>
      <c r="G1021" s="24">
        <v>4</v>
      </c>
      <c r="H1021" s="37">
        <f>I1021+1465.2</f>
        <v>10143.44</v>
      </c>
      <c r="I1021" s="37">
        <v>8678.24</v>
      </c>
      <c r="J1021" s="37">
        <v>8360.14</v>
      </c>
      <c r="K1021" s="36">
        <v>377</v>
      </c>
      <c r="L1021" s="24" t="s">
        <v>1348</v>
      </c>
      <c r="M1021" s="37">
        <v>10740992.29</v>
      </c>
      <c r="N1021" s="82"/>
      <c r="O1021" s="82"/>
      <c r="P1021" s="82"/>
      <c r="Q1021" s="37">
        <v>10740992.29</v>
      </c>
      <c r="R1021" s="37">
        <f t="shared" si="72"/>
        <v>1237.6924687494238</v>
      </c>
      <c r="S1021" s="29">
        <v>14736.15</v>
      </c>
      <c r="T1021" s="29" t="s">
        <v>1359</v>
      </c>
      <c r="U1021" s="83">
        <v>6.3</v>
      </c>
      <c r="V1021" s="296">
        <v>2020</v>
      </c>
    </row>
    <row r="1022" spans="1:22" ht="45">
      <c r="A1022" s="70">
        <v>240</v>
      </c>
      <c r="B1022" s="82" t="s">
        <v>537</v>
      </c>
      <c r="C1022" s="24">
        <v>1987</v>
      </c>
      <c r="D1022" s="24"/>
      <c r="E1022" s="24" t="s">
        <v>374</v>
      </c>
      <c r="F1022" s="24">
        <v>9</v>
      </c>
      <c r="G1022" s="24">
        <v>5</v>
      </c>
      <c r="H1022" s="37">
        <f>I1022+1129.8</f>
        <v>11078.699999999999</v>
      </c>
      <c r="I1022" s="37">
        <v>9948.9</v>
      </c>
      <c r="J1022" s="37">
        <v>9948.9</v>
      </c>
      <c r="K1022" s="36">
        <v>384</v>
      </c>
      <c r="L1022" s="24" t="s">
        <v>1346</v>
      </c>
      <c r="M1022" s="37">
        <v>9206156.81</v>
      </c>
      <c r="N1022" s="82"/>
      <c r="O1022" s="82"/>
      <c r="P1022" s="82"/>
      <c r="Q1022" s="37">
        <v>9206156.81</v>
      </c>
      <c r="R1022" s="37">
        <f t="shared" si="72"/>
        <v>925.3441898099288</v>
      </c>
      <c r="S1022" s="29">
        <v>14736.15</v>
      </c>
      <c r="T1022" s="29" t="s">
        <v>1359</v>
      </c>
      <c r="U1022" s="83">
        <v>6.3</v>
      </c>
      <c r="V1022" s="296">
        <v>2020</v>
      </c>
    </row>
    <row r="1023" spans="1:22" ht="45">
      <c r="A1023" s="70">
        <v>241</v>
      </c>
      <c r="B1023" s="82" t="s">
        <v>264</v>
      </c>
      <c r="C1023" s="24">
        <v>1990</v>
      </c>
      <c r="D1023" s="24"/>
      <c r="E1023" s="24" t="s">
        <v>374</v>
      </c>
      <c r="F1023" s="24">
        <v>9</v>
      </c>
      <c r="G1023" s="24">
        <v>3</v>
      </c>
      <c r="H1023" s="37">
        <f>I1023+794.5</f>
        <v>7065.95</v>
      </c>
      <c r="I1023" s="37">
        <v>6271.45</v>
      </c>
      <c r="J1023" s="37">
        <v>5946.3</v>
      </c>
      <c r="K1023" s="36">
        <v>349</v>
      </c>
      <c r="L1023" s="24" t="s">
        <v>1346</v>
      </c>
      <c r="M1023" s="37">
        <v>5546353.99</v>
      </c>
      <c r="N1023" s="82"/>
      <c r="O1023" s="82"/>
      <c r="P1023" s="82"/>
      <c r="Q1023" s="37">
        <v>5546353.99</v>
      </c>
      <c r="R1023" s="37">
        <f t="shared" si="72"/>
        <v>884.3814412934809</v>
      </c>
      <c r="S1023" s="29">
        <v>14736.15</v>
      </c>
      <c r="T1023" s="29" t="s">
        <v>1359</v>
      </c>
      <c r="U1023" s="83">
        <v>6.3</v>
      </c>
      <c r="V1023" s="296">
        <v>2020</v>
      </c>
    </row>
    <row r="1024" spans="1:22" ht="48.75" customHeight="1">
      <c r="A1024" s="70">
        <v>242</v>
      </c>
      <c r="B1024" s="82" t="s">
        <v>171</v>
      </c>
      <c r="C1024" s="24">
        <v>1979</v>
      </c>
      <c r="D1024" s="24"/>
      <c r="E1024" s="24" t="s">
        <v>494</v>
      </c>
      <c r="F1024" s="24">
        <v>9</v>
      </c>
      <c r="G1024" s="24">
        <v>9</v>
      </c>
      <c r="H1024" s="37">
        <f>I1024+2425</f>
        <v>19863.4</v>
      </c>
      <c r="I1024" s="37">
        <v>17438.4</v>
      </c>
      <c r="J1024" s="37">
        <v>16049.6</v>
      </c>
      <c r="K1024" s="36">
        <v>861</v>
      </c>
      <c r="L1024" s="24" t="s">
        <v>497</v>
      </c>
      <c r="M1024" s="37">
        <v>5028096</v>
      </c>
      <c r="N1024" s="82"/>
      <c r="O1024" s="82"/>
      <c r="P1024" s="82"/>
      <c r="Q1024" s="37">
        <v>5028096</v>
      </c>
      <c r="R1024" s="37">
        <f t="shared" si="72"/>
        <v>288.3347096063859</v>
      </c>
      <c r="S1024" s="29">
        <v>14736.15</v>
      </c>
      <c r="T1024" s="29" t="s">
        <v>1359</v>
      </c>
      <c r="U1024" s="83">
        <v>6.3</v>
      </c>
      <c r="V1024" s="296">
        <v>2020</v>
      </c>
    </row>
    <row r="1025" spans="1:22" ht="165">
      <c r="A1025" s="70">
        <v>243</v>
      </c>
      <c r="B1025" s="82" t="s">
        <v>532</v>
      </c>
      <c r="C1025" s="24">
        <v>1979</v>
      </c>
      <c r="D1025" s="24"/>
      <c r="E1025" s="24" t="s">
        <v>494</v>
      </c>
      <c r="F1025" s="24">
        <v>9</v>
      </c>
      <c r="G1025" s="24">
        <v>2</v>
      </c>
      <c r="H1025" s="37">
        <f>I1025+574.2</f>
        <v>4358.7</v>
      </c>
      <c r="I1025" s="37">
        <v>3784.5</v>
      </c>
      <c r="J1025" s="37">
        <v>3254.79</v>
      </c>
      <c r="K1025" s="36">
        <v>199</v>
      </c>
      <c r="L1025" s="24" t="s">
        <v>1560</v>
      </c>
      <c r="M1025" s="37">
        <v>3420534.17</v>
      </c>
      <c r="N1025" s="82"/>
      <c r="O1025" s="82"/>
      <c r="P1025" s="82"/>
      <c r="Q1025" s="37">
        <v>3420534.17</v>
      </c>
      <c r="R1025" s="37">
        <f t="shared" si="72"/>
        <v>903.8272347734179</v>
      </c>
      <c r="S1025" s="29">
        <v>14736.15</v>
      </c>
      <c r="T1025" s="29" t="s">
        <v>1359</v>
      </c>
      <c r="U1025" s="83">
        <v>6.3</v>
      </c>
      <c r="V1025" s="296">
        <v>2020</v>
      </c>
    </row>
    <row r="1026" spans="1:22" ht="45">
      <c r="A1026" s="70">
        <v>244</v>
      </c>
      <c r="B1026" s="82" t="s">
        <v>538</v>
      </c>
      <c r="C1026" s="24">
        <v>1980</v>
      </c>
      <c r="D1026" s="24"/>
      <c r="E1026" s="24" t="s">
        <v>494</v>
      </c>
      <c r="F1026" s="24">
        <v>9</v>
      </c>
      <c r="G1026" s="24">
        <v>16</v>
      </c>
      <c r="H1026" s="37">
        <f>I1026+4545</f>
        <v>35523.009999999995</v>
      </c>
      <c r="I1026" s="37">
        <v>30978.01</v>
      </c>
      <c r="J1026" s="37">
        <v>28047.81</v>
      </c>
      <c r="K1026" s="36">
        <v>1558</v>
      </c>
      <c r="L1026" s="24" t="s">
        <v>1346</v>
      </c>
      <c r="M1026" s="37">
        <v>29995146.24</v>
      </c>
      <c r="N1026" s="82"/>
      <c r="O1026" s="82"/>
      <c r="P1026" s="82"/>
      <c r="Q1026" s="37">
        <v>29995146.24</v>
      </c>
      <c r="R1026" s="37">
        <f t="shared" si="72"/>
        <v>968.2722111588188</v>
      </c>
      <c r="S1026" s="29">
        <v>14736.15</v>
      </c>
      <c r="T1026" s="29" t="s">
        <v>1359</v>
      </c>
      <c r="U1026" s="83">
        <v>6.3</v>
      </c>
      <c r="V1026" s="296">
        <v>2020</v>
      </c>
    </row>
    <row r="1027" spans="1:22" ht="39" customHeight="1">
      <c r="A1027" s="70">
        <v>245</v>
      </c>
      <c r="B1027" s="82" t="s">
        <v>533</v>
      </c>
      <c r="C1027" s="24">
        <v>1979</v>
      </c>
      <c r="D1027" s="24"/>
      <c r="E1027" s="24" t="s">
        <v>494</v>
      </c>
      <c r="F1027" s="24">
        <v>5</v>
      </c>
      <c r="G1027" s="24">
        <v>8</v>
      </c>
      <c r="H1027" s="37">
        <f>I1027+570.4</f>
        <v>4751</v>
      </c>
      <c r="I1027" s="37">
        <v>4180.6</v>
      </c>
      <c r="J1027" s="37">
        <v>3785.7</v>
      </c>
      <c r="K1027" s="36">
        <v>233</v>
      </c>
      <c r="L1027" s="24" t="s">
        <v>704</v>
      </c>
      <c r="M1027" s="37">
        <v>995265.06</v>
      </c>
      <c r="N1027" s="82"/>
      <c r="O1027" s="82"/>
      <c r="P1027" s="82"/>
      <c r="Q1027" s="37">
        <v>995265.06</v>
      </c>
      <c r="R1027" s="37">
        <f t="shared" si="72"/>
        <v>238.06751662440797</v>
      </c>
      <c r="S1027" s="29">
        <v>14736.15</v>
      </c>
      <c r="T1027" s="29" t="s">
        <v>1359</v>
      </c>
      <c r="U1027" s="83">
        <v>6.3</v>
      </c>
      <c r="V1027" s="296">
        <v>2020</v>
      </c>
    </row>
    <row r="1028" spans="1:22" ht="45">
      <c r="A1028" s="70">
        <v>246</v>
      </c>
      <c r="B1028" s="82" t="s">
        <v>265</v>
      </c>
      <c r="C1028" s="24">
        <v>1964</v>
      </c>
      <c r="D1028" s="24"/>
      <c r="E1028" s="24" t="s">
        <v>374</v>
      </c>
      <c r="F1028" s="24">
        <v>5</v>
      </c>
      <c r="G1028" s="24">
        <v>4</v>
      </c>
      <c r="H1028" s="37">
        <f>I1028+296</f>
        <v>3440.7</v>
      </c>
      <c r="I1028" s="37">
        <v>3144.7</v>
      </c>
      <c r="J1028" s="37">
        <v>2676.3</v>
      </c>
      <c r="K1028" s="36">
        <v>151</v>
      </c>
      <c r="L1028" s="24" t="s">
        <v>384</v>
      </c>
      <c r="M1028" s="37">
        <v>1253645.4</v>
      </c>
      <c r="N1028" s="82"/>
      <c r="O1028" s="82"/>
      <c r="P1028" s="82"/>
      <c r="Q1028" s="37">
        <v>1253645.4</v>
      </c>
      <c r="R1028" s="37">
        <f t="shared" si="72"/>
        <v>398.65341686011385</v>
      </c>
      <c r="S1028" s="29">
        <v>14736.15</v>
      </c>
      <c r="T1028" s="29" t="s">
        <v>1359</v>
      </c>
      <c r="U1028" s="83">
        <v>6.3</v>
      </c>
      <c r="V1028" s="296">
        <v>2020</v>
      </c>
    </row>
    <row r="1029" spans="1:22" ht="165">
      <c r="A1029" s="70">
        <v>247</v>
      </c>
      <c r="B1029" s="82" t="s">
        <v>534</v>
      </c>
      <c r="C1029" s="24">
        <v>1973</v>
      </c>
      <c r="D1029" s="24"/>
      <c r="E1029" s="24" t="s">
        <v>494</v>
      </c>
      <c r="F1029" s="24">
        <v>5</v>
      </c>
      <c r="G1029" s="24">
        <v>8</v>
      </c>
      <c r="H1029" s="37">
        <f>I1029+712</f>
        <v>6739.41</v>
      </c>
      <c r="I1029" s="37">
        <v>6027.41</v>
      </c>
      <c r="J1029" s="37">
        <v>5742</v>
      </c>
      <c r="K1029" s="36">
        <v>282</v>
      </c>
      <c r="L1029" s="24" t="s">
        <v>1560</v>
      </c>
      <c r="M1029" s="37">
        <v>5129682.48</v>
      </c>
      <c r="N1029" s="82"/>
      <c r="O1029" s="82"/>
      <c r="P1029" s="82"/>
      <c r="Q1029" s="37">
        <v>5129682.48</v>
      </c>
      <c r="R1029" s="37">
        <f t="shared" si="72"/>
        <v>851.0591580795069</v>
      </c>
      <c r="S1029" s="29">
        <v>14736.15</v>
      </c>
      <c r="T1029" s="29" t="s">
        <v>1359</v>
      </c>
      <c r="U1029" s="83">
        <v>6.3</v>
      </c>
      <c r="V1029" s="296">
        <v>2020</v>
      </c>
    </row>
    <row r="1030" spans="1:22" ht="45">
      <c r="A1030" s="70">
        <v>248</v>
      </c>
      <c r="B1030" s="82" t="s">
        <v>456</v>
      </c>
      <c r="C1030" s="24">
        <v>1982</v>
      </c>
      <c r="D1030" s="24"/>
      <c r="E1030" s="24" t="s">
        <v>374</v>
      </c>
      <c r="F1030" s="24">
        <v>5</v>
      </c>
      <c r="G1030" s="24">
        <v>4</v>
      </c>
      <c r="H1030" s="37">
        <f>I1030+354.4</f>
        <v>2650.7000000000003</v>
      </c>
      <c r="I1030" s="37">
        <v>2296.3</v>
      </c>
      <c r="J1030" s="37">
        <v>2218.2</v>
      </c>
      <c r="K1030" s="36">
        <v>106</v>
      </c>
      <c r="L1030" s="24" t="s">
        <v>497</v>
      </c>
      <c r="M1030" s="37">
        <v>1197591.56</v>
      </c>
      <c r="N1030" s="82"/>
      <c r="O1030" s="82"/>
      <c r="P1030" s="82"/>
      <c r="Q1030" s="37">
        <v>1197591.56</v>
      </c>
      <c r="R1030" s="37">
        <f t="shared" si="72"/>
        <v>521.5309672081174</v>
      </c>
      <c r="S1030" s="29">
        <v>14736.15</v>
      </c>
      <c r="T1030" s="29" t="s">
        <v>1359</v>
      </c>
      <c r="U1030" s="83">
        <v>6.3</v>
      </c>
      <c r="V1030" s="296">
        <v>2020</v>
      </c>
    </row>
    <row r="1031" spans="1:22" ht="165">
      <c r="A1031" s="70">
        <v>249</v>
      </c>
      <c r="B1031" s="82" t="s">
        <v>535</v>
      </c>
      <c r="C1031" s="24">
        <v>1974</v>
      </c>
      <c r="D1031" s="24"/>
      <c r="E1031" s="24" t="s">
        <v>494</v>
      </c>
      <c r="F1031" s="24">
        <v>5</v>
      </c>
      <c r="G1031" s="24">
        <v>4</v>
      </c>
      <c r="H1031" s="37">
        <f>I1031+308.2</f>
        <v>3340.5</v>
      </c>
      <c r="I1031" s="37">
        <v>3032.3</v>
      </c>
      <c r="J1031" s="37">
        <v>2584.5</v>
      </c>
      <c r="K1031" s="36">
        <v>151</v>
      </c>
      <c r="L1031" s="24" t="s">
        <v>1560</v>
      </c>
      <c r="M1031" s="37">
        <v>3459637.72</v>
      </c>
      <c r="N1031" s="82"/>
      <c r="O1031" s="82"/>
      <c r="P1031" s="82"/>
      <c r="Q1031" s="37">
        <v>3459637.72</v>
      </c>
      <c r="R1031" s="37">
        <f t="shared" si="72"/>
        <v>1140.9285756686343</v>
      </c>
      <c r="S1031" s="29">
        <v>14736.15</v>
      </c>
      <c r="T1031" s="29" t="s">
        <v>1359</v>
      </c>
      <c r="U1031" s="83">
        <v>6.3</v>
      </c>
      <c r="V1031" s="296">
        <v>2020</v>
      </c>
    </row>
    <row r="1032" spans="1:22" ht="45">
      <c r="A1032" s="70">
        <v>250</v>
      </c>
      <c r="B1032" s="82" t="s">
        <v>266</v>
      </c>
      <c r="C1032" s="24">
        <v>1956</v>
      </c>
      <c r="D1032" s="24"/>
      <c r="E1032" s="24" t="s">
        <v>374</v>
      </c>
      <c r="F1032" s="24">
        <v>3</v>
      </c>
      <c r="G1032" s="24">
        <v>2</v>
      </c>
      <c r="H1032" s="37">
        <f>I1032+150</f>
        <v>1226</v>
      </c>
      <c r="I1032" s="37">
        <v>1076</v>
      </c>
      <c r="J1032" s="37">
        <v>912.5</v>
      </c>
      <c r="K1032" s="36">
        <v>45</v>
      </c>
      <c r="L1032" s="24" t="s">
        <v>497</v>
      </c>
      <c r="M1032" s="37">
        <v>2275517.8</v>
      </c>
      <c r="N1032" s="82"/>
      <c r="O1032" s="82"/>
      <c r="P1032" s="82"/>
      <c r="Q1032" s="37">
        <v>2275517.8</v>
      </c>
      <c r="R1032" s="37">
        <f t="shared" si="72"/>
        <v>2114.793494423792</v>
      </c>
      <c r="S1032" s="29">
        <v>14736.15</v>
      </c>
      <c r="T1032" s="29" t="s">
        <v>1359</v>
      </c>
      <c r="U1032" s="83">
        <v>6.3</v>
      </c>
      <c r="V1032" s="296">
        <v>2020</v>
      </c>
    </row>
    <row r="1033" spans="1:22" ht="165">
      <c r="A1033" s="70">
        <v>251</v>
      </c>
      <c r="B1033" s="82" t="s">
        <v>1178</v>
      </c>
      <c r="C1033" s="24">
        <v>1978</v>
      </c>
      <c r="D1033" s="24"/>
      <c r="E1033" s="24" t="s">
        <v>494</v>
      </c>
      <c r="F1033" s="24">
        <v>9</v>
      </c>
      <c r="G1033" s="24">
        <v>2</v>
      </c>
      <c r="H1033" s="37">
        <f>I1033+526</f>
        <v>4407.2</v>
      </c>
      <c r="I1033" s="37">
        <v>3881.2</v>
      </c>
      <c r="J1033" s="37">
        <v>3652.6</v>
      </c>
      <c r="K1033" s="36">
        <v>195</v>
      </c>
      <c r="L1033" s="24" t="s">
        <v>1560</v>
      </c>
      <c r="M1033" s="37">
        <v>3189037.05</v>
      </c>
      <c r="N1033" s="82"/>
      <c r="O1033" s="82"/>
      <c r="P1033" s="82"/>
      <c r="Q1033" s="37">
        <v>3189037.05</v>
      </c>
      <c r="R1033" s="37">
        <f t="shared" si="72"/>
        <v>821.6626429970112</v>
      </c>
      <c r="S1033" s="29">
        <v>14736.15</v>
      </c>
      <c r="T1033" s="29" t="s">
        <v>1359</v>
      </c>
      <c r="U1033" s="83">
        <v>6.3</v>
      </c>
      <c r="V1033" s="296">
        <v>2020</v>
      </c>
    </row>
    <row r="1034" spans="1:22" ht="105">
      <c r="A1034" s="70">
        <v>252</v>
      </c>
      <c r="B1034" s="82" t="s">
        <v>993</v>
      </c>
      <c r="C1034" s="24">
        <v>1963</v>
      </c>
      <c r="D1034" s="24"/>
      <c r="E1034" s="24" t="s">
        <v>374</v>
      </c>
      <c r="F1034" s="24">
        <v>4</v>
      </c>
      <c r="G1034" s="24">
        <v>2</v>
      </c>
      <c r="H1034" s="37">
        <f>I1034+177</f>
        <v>1608.4</v>
      </c>
      <c r="I1034" s="37">
        <v>1431.4</v>
      </c>
      <c r="J1034" s="37">
        <v>1389</v>
      </c>
      <c r="K1034" s="36">
        <v>49</v>
      </c>
      <c r="L1034" s="24" t="s">
        <v>390</v>
      </c>
      <c r="M1034" s="37">
        <v>2608536.69</v>
      </c>
      <c r="N1034" s="82"/>
      <c r="O1034" s="82"/>
      <c r="P1034" s="82"/>
      <c r="Q1034" s="37">
        <v>2608536.69</v>
      </c>
      <c r="R1034" s="37">
        <f t="shared" si="72"/>
        <v>1822.3673955567974</v>
      </c>
      <c r="S1034" s="29">
        <v>14736.15</v>
      </c>
      <c r="T1034" s="29" t="s">
        <v>1359</v>
      </c>
      <c r="U1034" s="83">
        <v>6.3</v>
      </c>
      <c r="V1034" s="296">
        <v>2020</v>
      </c>
    </row>
    <row r="1035" spans="1:22" ht="45">
      <c r="A1035" s="70">
        <v>253</v>
      </c>
      <c r="B1035" s="82" t="s">
        <v>540</v>
      </c>
      <c r="C1035" s="24">
        <v>1987</v>
      </c>
      <c r="D1035" s="24"/>
      <c r="E1035" s="24" t="s">
        <v>1264</v>
      </c>
      <c r="F1035" s="24">
        <v>17</v>
      </c>
      <c r="G1035" s="24">
        <v>1</v>
      </c>
      <c r="H1035" s="37">
        <f>I1035+1060.4</f>
        <v>7430.9</v>
      </c>
      <c r="I1035" s="37">
        <v>6370.5</v>
      </c>
      <c r="J1035" s="37">
        <v>5629.3</v>
      </c>
      <c r="K1035" s="36">
        <v>274</v>
      </c>
      <c r="L1035" s="24" t="s">
        <v>1346</v>
      </c>
      <c r="M1035" s="37">
        <v>5226897.84</v>
      </c>
      <c r="N1035" s="82"/>
      <c r="O1035" s="82"/>
      <c r="P1035" s="82"/>
      <c r="Q1035" s="37">
        <v>5226897.84</v>
      </c>
      <c r="R1035" s="37">
        <f t="shared" si="72"/>
        <v>820.4847092064987</v>
      </c>
      <c r="S1035" s="29">
        <v>14736.15</v>
      </c>
      <c r="T1035" s="29" t="s">
        <v>1359</v>
      </c>
      <c r="U1035" s="83">
        <v>6.3</v>
      </c>
      <c r="V1035" s="296">
        <v>2020</v>
      </c>
    </row>
    <row r="1036" spans="1:22" ht="45">
      <c r="A1036" s="70">
        <v>254</v>
      </c>
      <c r="B1036" s="82" t="s">
        <v>457</v>
      </c>
      <c r="C1036" s="24">
        <v>1982</v>
      </c>
      <c r="D1036" s="24"/>
      <c r="E1036" s="24" t="s">
        <v>494</v>
      </c>
      <c r="F1036" s="24">
        <v>9</v>
      </c>
      <c r="G1036" s="24">
        <v>1</v>
      </c>
      <c r="H1036" s="37">
        <f>I1036+459.5</f>
        <v>4197.4</v>
      </c>
      <c r="I1036" s="37">
        <v>3737.9</v>
      </c>
      <c r="J1036" s="37">
        <v>3539.1</v>
      </c>
      <c r="K1036" s="36">
        <v>233</v>
      </c>
      <c r="L1036" s="24" t="s">
        <v>1346</v>
      </c>
      <c r="M1036" s="37">
        <v>1875976.01</v>
      </c>
      <c r="N1036" s="82"/>
      <c r="O1036" s="82"/>
      <c r="P1036" s="82"/>
      <c r="Q1036" s="37">
        <v>1875976.01</v>
      </c>
      <c r="R1036" s="37">
        <f t="shared" si="72"/>
        <v>501.8796677278686</v>
      </c>
      <c r="S1036" s="29">
        <v>14736.15</v>
      </c>
      <c r="T1036" s="29" t="s">
        <v>1359</v>
      </c>
      <c r="U1036" s="83">
        <v>6.3</v>
      </c>
      <c r="V1036" s="296">
        <v>2020</v>
      </c>
    </row>
    <row r="1037" spans="1:22" ht="45">
      <c r="A1037" s="70">
        <v>255</v>
      </c>
      <c r="B1037" s="82" t="s">
        <v>523</v>
      </c>
      <c r="C1037" s="24">
        <v>1970</v>
      </c>
      <c r="D1037" s="24"/>
      <c r="E1037" s="24" t="s">
        <v>374</v>
      </c>
      <c r="F1037" s="24">
        <v>5</v>
      </c>
      <c r="G1037" s="24">
        <v>4</v>
      </c>
      <c r="H1037" s="37">
        <f>I1037+244</f>
        <v>3992</v>
      </c>
      <c r="I1037" s="37">
        <v>3748</v>
      </c>
      <c r="J1037" s="37">
        <v>2331.7</v>
      </c>
      <c r="K1037" s="36">
        <v>145</v>
      </c>
      <c r="L1037" s="24" t="s">
        <v>497</v>
      </c>
      <c r="M1037" s="37">
        <v>3483375.76</v>
      </c>
      <c r="N1037" s="82"/>
      <c r="O1037" s="82"/>
      <c r="P1037" s="82"/>
      <c r="Q1037" s="37">
        <v>3483375.76</v>
      </c>
      <c r="R1037" s="37">
        <f t="shared" si="72"/>
        <v>929.3958804695837</v>
      </c>
      <c r="S1037" s="29">
        <v>14736.15</v>
      </c>
      <c r="T1037" s="29" t="s">
        <v>1359</v>
      </c>
      <c r="U1037" s="83">
        <v>6.3</v>
      </c>
      <c r="V1037" s="296">
        <v>2020</v>
      </c>
    </row>
    <row r="1038" spans="1:22" s="23" customFormat="1" ht="120">
      <c r="A1038" s="70">
        <v>256</v>
      </c>
      <c r="B1038" s="82" t="s">
        <v>653</v>
      </c>
      <c r="C1038" s="24">
        <v>1980</v>
      </c>
      <c r="D1038" s="24"/>
      <c r="E1038" s="24" t="s">
        <v>494</v>
      </c>
      <c r="F1038" s="24">
        <v>5</v>
      </c>
      <c r="G1038" s="24">
        <v>3</v>
      </c>
      <c r="H1038" s="37">
        <f>I1038+265</f>
        <v>2525.6</v>
      </c>
      <c r="I1038" s="37">
        <v>2260.6</v>
      </c>
      <c r="J1038" s="37">
        <v>2260.6</v>
      </c>
      <c r="K1038" s="36">
        <v>123</v>
      </c>
      <c r="L1038" s="24" t="s">
        <v>1561</v>
      </c>
      <c r="M1038" s="37">
        <v>3252237.89</v>
      </c>
      <c r="N1038" s="82"/>
      <c r="O1038" s="82"/>
      <c r="P1038" s="82"/>
      <c r="Q1038" s="37">
        <v>3252237.89</v>
      </c>
      <c r="R1038" s="37">
        <f t="shared" si="72"/>
        <v>1438.661368663187</v>
      </c>
      <c r="S1038" s="29">
        <v>14736.15</v>
      </c>
      <c r="T1038" s="29" t="s">
        <v>1359</v>
      </c>
      <c r="U1038" s="83">
        <v>6.3</v>
      </c>
      <c r="V1038" s="296">
        <v>2020</v>
      </c>
    </row>
    <row r="1039" spans="1:22" ht="105">
      <c r="A1039" s="70">
        <v>257</v>
      </c>
      <c r="B1039" s="82" t="s">
        <v>267</v>
      </c>
      <c r="C1039" s="24">
        <v>1972</v>
      </c>
      <c r="D1039" s="24"/>
      <c r="E1039" s="24" t="s">
        <v>374</v>
      </c>
      <c r="F1039" s="24">
        <v>5</v>
      </c>
      <c r="G1039" s="24">
        <v>6</v>
      </c>
      <c r="H1039" s="37">
        <f>I1039+466.6</f>
        <v>4858.5</v>
      </c>
      <c r="I1039" s="37">
        <v>4391.9</v>
      </c>
      <c r="J1039" s="37">
        <v>3720.7</v>
      </c>
      <c r="K1039" s="36">
        <v>265</v>
      </c>
      <c r="L1039" s="24" t="s">
        <v>390</v>
      </c>
      <c r="M1039" s="37">
        <v>5509527.12</v>
      </c>
      <c r="N1039" s="82"/>
      <c r="O1039" s="82"/>
      <c r="P1039" s="82"/>
      <c r="Q1039" s="37">
        <v>5509527.12</v>
      </c>
      <c r="R1039" s="37">
        <f t="shared" si="72"/>
        <v>1254.474628292994</v>
      </c>
      <c r="S1039" s="29">
        <v>14736.15</v>
      </c>
      <c r="T1039" s="29" t="s">
        <v>1359</v>
      </c>
      <c r="U1039" s="83">
        <v>6.3</v>
      </c>
      <c r="V1039" s="296">
        <v>2020</v>
      </c>
    </row>
    <row r="1040" spans="1:22" ht="33.75" customHeight="1">
      <c r="A1040" s="70">
        <v>258</v>
      </c>
      <c r="B1040" s="82" t="s">
        <v>1008</v>
      </c>
      <c r="C1040" s="24">
        <v>1979</v>
      </c>
      <c r="D1040" s="24"/>
      <c r="E1040" s="24" t="s">
        <v>494</v>
      </c>
      <c r="F1040" s="24">
        <v>5</v>
      </c>
      <c r="G1040" s="24">
        <v>4</v>
      </c>
      <c r="H1040" s="37">
        <f>I1040+356</f>
        <v>3422.9</v>
      </c>
      <c r="I1040" s="37">
        <v>3066.9</v>
      </c>
      <c r="J1040" s="37">
        <v>2948.7</v>
      </c>
      <c r="K1040" s="36">
        <v>148</v>
      </c>
      <c r="L1040" s="24" t="s">
        <v>1584</v>
      </c>
      <c r="M1040" s="37">
        <v>592031.24</v>
      </c>
      <c r="N1040" s="82"/>
      <c r="O1040" s="82"/>
      <c r="P1040" s="82"/>
      <c r="Q1040" s="37">
        <v>592031.24</v>
      </c>
      <c r="R1040" s="37">
        <f t="shared" si="72"/>
        <v>193.0389774691056</v>
      </c>
      <c r="S1040" s="29">
        <v>14736.15</v>
      </c>
      <c r="T1040" s="29" t="s">
        <v>1359</v>
      </c>
      <c r="U1040" s="83">
        <v>6.3</v>
      </c>
      <c r="V1040" s="296">
        <v>2020</v>
      </c>
    </row>
    <row r="1041" spans="1:22" ht="33" customHeight="1">
      <c r="A1041" s="70">
        <v>259</v>
      </c>
      <c r="B1041" s="82" t="s">
        <v>545</v>
      </c>
      <c r="C1041" s="24">
        <v>1997</v>
      </c>
      <c r="D1041" s="24"/>
      <c r="E1041" s="24" t="s">
        <v>1264</v>
      </c>
      <c r="F1041" s="24" t="s">
        <v>524</v>
      </c>
      <c r="G1041" s="24">
        <v>5</v>
      </c>
      <c r="H1041" s="37">
        <f>I1041+1300</f>
        <v>8735.5</v>
      </c>
      <c r="I1041" s="37">
        <v>7435.5</v>
      </c>
      <c r="J1041" s="37">
        <v>6639.7</v>
      </c>
      <c r="K1041" s="36">
        <v>360</v>
      </c>
      <c r="L1041" s="24" t="s">
        <v>525</v>
      </c>
      <c r="M1041" s="37">
        <v>31478556.69</v>
      </c>
      <c r="N1041" s="82"/>
      <c r="O1041" s="82"/>
      <c r="P1041" s="82"/>
      <c r="Q1041" s="37">
        <v>31478556.69</v>
      </c>
      <c r="R1041" s="37">
        <f t="shared" si="72"/>
        <v>4233.54941698608</v>
      </c>
      <c r="S1041" s="29">
        <v>14736.15</v>
      </c>
      <c r="T1041" s="29" t="s">
        <v>1359</v>
      </c>
      <c r="U1041" s="83">
        <v>6.3</v>
      </c>
      <c r="V1041" s="296">
        <v>2020</v>
      </c>
    </row>
    <row r="1042" spans="1:22" ht="105">
      <c r="A1042" s="70">
        <v>260</v>
      </c>
      <c r="B1042" s="82" t="s">
        <v>998</v>
      </c>
      <c r="C1042" s="24">
        <v>1975</v>
      </c>
      <c r="D1042" s="24"/>
      <c r="E1042" s="24" t="s">
        <v>494</v>
      </c>
      <c r="F1042" s="24">
        <v>5</v>
      </c>
      <c r="G1042" s="24">
        <v>4</v>
      </c>
      <c r="H1042" s="37">
        <f>I1042+395.6</f>
        <v>3432.2</v>
      </c>
      <c r="I1042" s="37">
        <v>3036.6</v>
      </c>
      <c r="J1042" s="37">
        <v>2898.4</v>
      </c>
      <c r="K1042" s="36">
        <v>164</v>
      </c>
      <c r="L1042" s="24" t="s">
        <v>390</v>
      </c>
      <c r="M1042" s="37">
        <v>4164217.38</v>
      </c>
      <c r="N1042" s="82"/>
      <c r="O1042" s="82"/>
      <c r="P1042" s="82"/>
      <c r="Q1042" s="37">
        <v>4164217.38</v>
      </c>
      <c r="R1042" s="37">
        <f t="shared" si="72"/>
        <v>1371.3420865441612</v>
      </c>
      <c r="S1042" s="29">
        <v>14736.15</v>
      </c>
      <c r="T1042" s="29" t="s">
        <v>1359</v>
      </c>
      <c r="U1042" s="83">
        <v>6.3</v>
      </c>
      <c r="V1042" s="296">
        <v>2020</v>
      </c>
    </row>
    <row r="1043" spans="1:22" ht="105">
      <c r="A1043" s="70">
        <v>261</v>
      </c>
      <c r="B1043" s="82" t="s">
        <v>268</v>
      </c>
      <c r="C1043" s="24">
        <v>1973</v>
      </c>
      <c r="D1043" s="24"/>
      <c r="E1043" s="24" t="s">
        <v>374</v>
      </c>
      <c r="F1043" s="24">
        <v>5</v>
      </c>
      <c r="G1043" s="24">
        <v>1</v>
      </c>
      <c r="H1043" s="37">
        <f>I1043+622</f>
        <v>4571.0599999999995</v>
      </c>
      <c r="I1043" s="37">
        <v>3949.06</v>
      </c>
      <c r="J1043" s="37">
        <v>3773.46</v>
      </c>
      <c r="K1043" s="36">
        <v>221</v>
      </c>
      <c r="L1043" s="24" t="s">
        <v>390</v>
      </c>
      <c r="M1043" s="37">
        <v>2920829.34</v>
      </c>
      <c r="N1043" s="82"/>
      <c r="O1043" s="82"/>
      <c r="P1043" s="82"/>
      <c r="Q1043" s="37">
        <v>2920829.34</v>
      </c>
      <c r="R1043" s="37">
        <f t="shared" si="72"/>
        <v>739.6264781998754</v>
      </c>
      <c r="S1043" s="29">
        <v>14736.15</v>
      </c>
      <c r="T1043" s="29" t="s">
        <v>1359</v>
      </c>
      <c r="U1043" s="83">
        <v>6.3</v>
      </c>
      <c r="V1043" s="296">
        <v>2020</v>
      </c>
    </row>
    <row r="1044" spans="1:22" ht="15" customHeight="1">
      <c r="A1044" s="70"/>
      <c r="B1044" s="112" t="s">
        <v>1298</v>
      </c>
      <c r="C1044" s="99"/>
      <c r="D1044" s="99"/>
      <c r="E1044" s="29"/>
      <c r="F1044" s="99"/>
      <c r="G1044" s="99"/>
      <c r="H1044" s="81">
        <f>SUM(H939:H1043)</f>
        <v>706626.07</v>
      </c>
      <c r="I1044" s="81">
        <f>SUM(I939:I1043)</f>
        <v>624675.6700000002</v>
      </c>
      <c r="J1044" s="81">
        <f>SUM(J939:J1043)</f>
        <v>573449.4199999997</v>
      </c>
      <c r="K1044" s="98">
        <f>SUM(K939:K1043)</f>
        <v>32371</v>
      </c>
      <c r="L1044" s="81"/>
      <c r="M1044" s="81">
        <f>SUM(M939:M1043)</f>
        <v>683629270.1299998</v>
      </c>
      <c r="N1044" s="81"/>
      <c r="O1044" s="81"/>
      <c r="P1044" s="81"/>
      <c r="Q1044" s="81">
        <f>SUM(Q939:Q1043)</f>
        <v>683629270.1299998</v>
      </c>
      <c r="R1044" s="81">
        <f>SUM(R939:R1043)</f>
        <v>129759.98195053494</v>
      </c>
      <c r="S1044" s="29"/>
      <c r="T1044" s="81"/>
      <c r="U1044" s="118"/>
      <c r="V1044" s="296"/>
    </row>
    <row r="1045" spans="1:22" ht="15.75">
      <c r="A1045" s="70"/>
      <c r="B1045" s="127" t="s">
        <v>870</v>
      </c>
      <c r="C1045" s="99"/>
      <c r="D1045" s="99"/>
      <c r="E1045" s="29"/>
      <c r="F1045" s="99"/>
      <c r="G1045" s="99"/>
      <c r="H1045" s="81">
        <f>H740+H744+H751+H755+H760+H770+H774+H780+H786+H795+H798+H802+H821+H841+H844+H851+H854+H857+H868+H904+H930+H937+H1044</f>
        <v>1029976.3699999999</v>
      </c>
      <c r="I1045" s="81">
        <f>I740+I744+I751+I755+I760+I770+I774+I780+I786+I795+I798+I802+I821+I841+I844+I851+I854+I857+I868+I904+I930+I937+I1044</f>
        <v>933536.8800000001</v>
      </c>
      <c r="J1045" s="81">
        <f>J740+J744+J751+J755+J760+J770+J774+J780+J786+J795+J798+J802+J821+J841+J844+J851+J854+J857+J868+J904+J930+J937+J1044</f>
        <v>843482.0899999997</v>
      </c>
      <c r="K1045" s="98">
        <f>K740+K744+K751+K755+K760+K770+K774+K780+K786+K795+K798+K802+K821+K841+K844+K851+K854+K857+K868+K904+K930+K937+K1044</f>
        <v>46861</v>
      </c>
      <c r="L1045" s="81"/>
      <c r="M1045" s="81">
        <f>M740+M744+M751+M755+M760+M770+M774+M780+M786+M795+M798+M802+M821+M841+M844+M851+M854+M857+M868+M904+M930+M937+M1044</f>
        <v>1075282691.3599997</v>
      </c>
      <c r="N1045" s="81"/>
      <c r="O1045" s="81"/>
      <c r="P1045" s="81"/>
      <c r="Q1045" s="81">
        <f>Q740+Q744+Q751+Q755+Q760+Q770+Q774+Q780+Q786+Q795+Q798+Q802+Q821+Q841+Q844+Q851+Q854+Q857+Q868+Q904+Q930+Q937+Q1044</f>
        <v>1075282691.3599997</v>
      </c>
      <c r="R1045" s="81">
        <f>R740+R744+R751+R755+R760+R770+R774+R780+R786+R795+R798+R802+R821+R841+R844+R851+R854+R857+R868+R904+R930+R937+R1044</f>
        <v>170662.0187952048</v>
      </c>
      <c r="S1045" s="99"/>
      <c r="T1045" s="99"/>
      <c r="U1045" s="118"/>
      <c r="V1045" s="296"/>
    </row>
    <row r="1046" spans="1:22" ht="31.5">
      <c r="A1046" s="289"/>
      <c r="B1046" s="127" t="s">
        <v>873</v>
      </c>
      <c r="C1046" s="290"/>
      <c r="D1046" s="290"/>
      <c r="E1046" s="291"/>
      <c r="F1046" s="290"/>
      <c r="G1046" s="290"/>
      <c r="H1046" s="292">
        <f>H397+H736+H1045</f>
        <v>2632062.2739999997</v>
      </c>
      <c r="I1046" s="292">
        <f>I397+I736+I1045</f>
        <v>2386156.4000000004</v>
      </c>
      <c r="J1046" s="292">
        <f>J397+J736+J1045</f>
        <v>2090445.3299999996</v>
      </c>
      <c r="K1046" s="293">
        <f>K397+K736+K1045</f>
        <v>117863</v>
      </c>
      <c r="L1046" s="292"/>
      <c r="M1046" s="292">
        <f>M397+M736+M1045</f>
        <v>2723047469.5573</v>
      </c>
      <c r="N1046" s="292"/>
      <c r="O1046" s="292"/>
      <c r="P1046" s="292"/>
      <c r="Q1046" s="292">
        <f>Q397+Q736+Q1045</f>
        <v>2723047469.5573</v>
      </c>
      <c r="R1046" s="292">
        <f>M1046/I1046</f>
        <v>1141.185661408154</v>
      </c>
      <c r="S1046" s="292">
        <v>14736.15</v>
      </c>
      <c r="T1046" s="290"/>
      <c r="U1046" s="188"/>
      <c r="V1046" s="296"/>
    </row>
    <row r="1047" spans="1:21" ht="73.5" customHeight="1">
      <c r="A1047" s="309" t="s">
        <v>1179</v>
      </c>
      <c r="B1047" s="309"/>
      <c r="C1047" s="309"/>
      <c r="D1047" s="309"/>
      <c r="E1047" s="309"/>
      <c r="F1047" s="309"/>
      <c r="G1047" s="309"/>
      <c r="H1047" s="309"/>
      <c r="I1047" s="309"/>
      <c r="J1047" s="309"/>
      <c r="K1047" s="309"/>
      <c r="L1047" s="309"/>
      <c r="M1047" s="309"/>
      <c r="N1047" s="309"/>
      <c r="O1047" s="309"/>
      <c r="P1047" s="309"/>
      <c r="Q1047" s="309"/>
      <c r="R1047" s="309"/>
      <c r="S1047" s="309"/>
      <c r="T1047" s="309"/>
      <c r="U1047" s="309"/>
    </row>
    <row r="1048" spans="1:21" ht="15">
      <c r="A1048" s="10"/>
      <c r="B1048" s="278"/>
      <c r="C1048" s="278"/>
      <c r="D1048" s="278"/>
      <c r="E1048" s="278"/>
      <c r="F1048" s="278"/>
      <c r="G1048" s="278"/>
      <c r="H1048" s="279"/>
      <c r="I1048" s="279"/>
      <c r="J1048" s="278"/>
      <c r="K1048" s="281"/>
      <c r="L1048" s="280"/>
      <c r="M1048" s="280"/>
      <c r="N1048" s="280"/>
      <c r="O1048" s="280"/>
      <c r="P1048" s="280"/>
      <c r="Q1048" s="280"/>
      <c r="R1048" s="282"/>
      <c r="S1048" s="282"/>
      <c r="T1048" s="278"/>
      <c r="U1048" s="278"/>
    </row>
    <row r="1049" spans="1:21" ht="15">
      <c r="A1049" s="10"/>
      <c r="B1049" s="278"/>
      <c r="C1049" s="284"/>
      <c r="D1049" s="284"/>
      <c r="E1049" s="284"/>
      <c r="F1049" s="284"/>
      <c r="G1049" s="284"/>
      <c r="H1049" s="285">
        <f>C1050-M1045</f>
        <v>51401271.83000016</v>
      </c>
      <c r="I1049" s="279"/>
      <c r="J1049" s="279"/>
      <c r="K1049" s="281"/>
      <c r="L1049" s="278"/>
      <c r="M1049" s="278"/>
      <c r="N1049" s="280"/>
      <c r="O1049" s="280"/>
      <c r="P1049" s="280"/>
      <c r="Q1049" s="280"/>
      <c r="R1049" s="282"/>
      <c r="S1049" s="282"/>
      <c r="T1049" s="278"/>
      <c r="U1049" s="278"/>
    </row>
    <row r="1050" spans="1:21" ht="15">
      <c r="A1050" s="10"/>
      <c r="B1050" s="278"/>
      <c r="C1050" s="308">
        <v>1126683963.1899998</v>
      </c>
      <c r="D1050" s="308"/>
      <c r="E1050" s="286"/>
      <c r="F1050" s="284"/>
      <c r="G1050" s="284"/>
      <c r="H1050" s="285">
        <f>C1051-M1046</f>
        <v>74224604.95000029</v>
      </c>
      <c r="I1050" s="279"/>
      <c r="J1050" s="279"/>
      <c r="K1050" s="283"/>
      <c r="L1050" s="279"/>
      <c r="M1050" s="279"/>
      <c r="N1050" s="280"/>
      <c r="O1050" s="280"/>
      <c r="P1050" s="280"/>
      <c r="Q1050" s="280"/>
      <c r="R1050" s="282"/>
      <c r="S1050" s="282"/>
      <c r="T1050" s="278"/>
      <c r="U1050" s="278"/>
    </row>
    <row r="1051" spans="1:21" ht="15">
      <c r="A1051" s="10"/>
      <c r="B1051" s="278"/>
      <c r="C1051" s="308">
        <v>2797272074.5073004</v>
      </c>
      <c r="D1051" s="308"/>
      <c r="E1051" s="284"/>
      <c r="F1051" s="284"/>
      <c r="G1051" s="284"/>
      <c r="H1051" s="286"/>
      <c r="I1051" s="279"/>
      <c r="J1051" s="280"/>
      <c r="K1051" s="281"/>
      <c r="L1051" s="280"/>
      <c r="M1051" s="280"/>
      <c r="N1051" s="280"/>
      <c r="O1051" s="280"/>
      <c r="P1051" s="280"/>
      <c r="Q1051" s="280"/>
      <c r="R1051" s="282"/>
      <c r="S1051" s="282"/>
      <c r="T1051" s="278"/>
      <c r="U1051" s="278"/>
    </row>
    <row r="1052" spans="1:21" ht="15">
      <c r="A1052" s="10"/>
      <c r="B1052" s="278"/>
      <c r="C1052" s="278"/>
      <c r="D1052" s="278"/>
      <c r="E1052" s="279"/>
      <c r="F1052" s="278"/>
      <c r="G1052" s="278"/>
      <c r="H1052" s="279"/>
      <c r="I1052" s="279"/>
      <c r="J1052" s="278"/>
      <c r="K1052" s="281"/>
      <c r="L1052" s="278"/>
      <c r="M1052" s="278"/>
      <c r="N1052" s="280"/>
      <c r="O1052" s="280"/>
      <c r="P1052" s="280"/>
      <c r="Q1052" s="280"/>
      <c r="R1052" s="282"/>
      <c r="S1052" s="282"/>
      <c r="T1052" s="278"/>
      <c r="U1052" s="278"/>
    </row>
    <row r="1053" spans="1:21" ht="15">
      <c r="A1053" s="10"/>
      <c r="B1053" s="278"/>
      <c r="C1053" s="278"/>
      <c r="D1053" s="278"/>
      <c r="E1053" s="279"/>
      <c r="F1053" s="278"/>
      <c r="G1053" s="278"/>
      <c r="H1053" s="279"/>
      <c r="I1053" s="279"/>
      <c r="J1053" s="279"/>
      <c r="K1053" s="283"/>
      <c r="L1053" s="279"/>
      <c r="M1053" s="280"/>
      <c r="N1053" s="280"/>
      <c r="O1053" s="280"/>
      <c r="P1053" s="280"/>
      <c r="Q1053" s="280"/>
      <c r="R1053" s="282"/>
      <c r="S1053" s="282"/>
      <c r="T1053" s="278"/>
      <c r="U1053" s="278"/>
    </row>
    <row r="1054" spans="1:21" ht="15">
      <c r="A1054" s="10"/>
      <c r="B1054" s="278"/>
      <c r="C1054" s="278"/>
      <c r="D1054" s="278"/>
      <c r="E1054" s="279"/>
      <c r="F1054" s="278"/>
      <c r="G1054" s="278"/>
      <c r="H1054" s="279"/>
      <c r="I1054" s="279"/>
      <c r="J1054" s="279"/>
      <c r="K1054" s="283"/>
      <c r="L1054" s="279"/>
      <c r="M1054" s="280"/>
      <c r="N1054" s="280"/>
      <c r="O1054" s="280"/>
      <c r="P1054" s="280"/>
      <c r="Q1054" s="280"/>
      <c r="R1054" s="282"/>
      <c r="S1054" s="282"/>
      <c r="T1054" s="278"/>
      <c r="U1054" s="278"/>
    </row>
    <row r="1055" spans="1:21" ht="15">
      <c r="A1055" s="10"/>
      <c r="B1055" s="278"/>
      <c r="C1055" s="278"/>
      <c r="D1055" s="278"/>
      <c r="E1055" s="279"/>
      <c r="F1055" s="278"/>
      <c r="G1055" s="278"/>
      <c r="H1055" s="280"/>
      <c r="I1055" s="280"/>
      <c r="J1055" s="280"/>
      <c r="K1055" s="281"/>
      <c r="L1055" s="278"/>
      <c r="M1055" s="280"/>
      <c r="N1055" s="280"/>
      <c r="O1055" s="280"/>
      <c r="P1055" s="280"/>
      <c r="Q1055" s="280"/>
      <c r="R1055" s="282"/>
      <c r="S1055" s="282"/>
      <c r="T1055" s="278"/>
      <c r="U1055" s="278"/>
    </row>
    <row r="1056" spans="1:21" ht="15">
      <c r="A1056" s="10"/>
      <c r="B1056" s="278"/>
      <c r="C1056" s="278"/>
      <c r="D1056" s="278"/>
      <c r="E1056" s="279"/>
      <c r="F1056" s="278"/>
      <c r="G1056" s="278"/>
      <c r="H1056" s="280"/>
      <c r="I1056" s="280"/>
      <c r="J1056" s="280"/>
      <c r="K1056" s="281"/>
      <c r="L1056" s="278"/>
      <c r="M1056" s="280"/>
      <c r="N1056" s="280"/>
      <c r="O1056" s="280"/>
      <c r="P1056" s="280"/>
      <c r="Q1056" s="280"/>
      <c r="R1056" s="282"/>
      <c r="S1056" s="282"/>
      <c r="T1056" s="278"/>
      <c r="U1056" s="278"/>
    </row>
    <row r="1057" spans="1:21" ht="15">
      <c r="A1057" s="10"/>
      <c r="B1057" s="278"/>
      <c r="C1057" s="278"/>
      <c r="D1057" s="278"/>
      <c r="E1057" s="279"/>
      <c r="F1057" s="278"/>
      <c r="G1057" s="278"/>
      <c r="H1057" s="280"/>
      <c r="I1057" s="280"/>
      <c r="J1057" s="280"/>
      <c r="K1057" s="281"/>
      <c r="L1057" s="278"/>
      <c r="M1057" s="280"/>
      <c r="N1057" s="280"/>
      <c r="O1057" s="280"/>
      <c r="P1057" s="280"/>
      <c r="Q1057" s="280"/>
      <c r="R1057" s="282"/>
      <c r="S1057" s="282"/>
      <c r="T1057" s="278"/>
      <c r="U1057" s="278"/>
    </row>
    <row r="1058" spans="1:21" ht="15">
      <c r="A1058" s="10"/>
      <c r="B1058" s="278"/>
      <c r="C1058" s="278"/>
      <c r="D1058" s="278"/>
      <c r="E1058" s="279"/>
      <c r="F1058" s="278"/>
      <c r="G1058" s="278"/>
      <c r="H1058" s="280"/>
      <c r="I1058" s="280"/>
      <c r="J1058" s="280"/>
      <c r="K1058" s="281"/>
      <c r="L1058" s="278"/>
      <c r="M1058" s="280"/>
      <c r="N1058" s="280"/>
      <c r="O1058" s="280"/>
      <c r="P1058" s="280"/>
      <c r="Q1058" s="280"/>
      <c r="R1058" s="282"/>
      <c r="S1058" s="282"/>
      <c r="T1058" s="278"/>
      <c r="U1058" s="278"/>
    </row>
    <row r="1059" spans="1:21" ht="15">
      <c r="A1059" s="10"/>
      <c r="B1059" s="278"/>
      <c r="C1059" s="278"/>
      <c r="D1059" s="278"/>
      <c r="E1059" s="279"/>
      <c r="F1059" s="278"/>
      <c r="G1059" s="278"/>
      <c r="H1059" s="280"/>
      <c r="I1059" s="280"/>
      <c r="J1059" s="280"/>
      <c r="K1059" s="281"/>
      <c r="L1059" s="278"/>
      <c r="M1059" s="280"/>
      <c r="N1059" s="280"/>
      <c r="O1059" s="280"/>
      <c r="P1059" s="280"/>
      <c r="Q1059" s="280"/>
      <c r="R1059" s="282"/>
      <c r="S1059" s="282"/>
      <c r="T1059" s="278"/>
      <c r="U1059" s="278"/>
    </row>
    <row r="1060" spans="1:21" ht="15">
      <c r="A1060" s="10"/>
      <c r="B1060" s="278"/>
      <c r="C1060" s="278"/>
      <c r="D1060" s="278"/>
      <c r="E1060" s="279"/>
      <c r="F1060" s="278"/>
      <c r="G1060" s="278"/>
      <c r="H1060" s="280"/>
      <c r="I1060" s="280"/>
      <c r="J1060" s="280"/>
      <c r="K1060" s="281"/>
      <c r="L1060" s="278"/>
      <c r="M1060" s="280"/>
      <c r="N1060" s="280"/>
      <c r="O1060" s="280"/>
      <c r="P1060" s="280"/>
      <c r="Q1060" s="280"/>
      <c r="R1060" s="282"/>
      <c r="S1060" s="282"/>
      <c r="T1060" s="278"/>
      <c r="U1060" s="278"/>
    </row>
    <row r="1061" spans="1:21" ht="15">
      <c r="A1061" s="10"/>
      <c r="B1061" s="278"/>
      <c r="C1061" s="278"/>
      <c r="D1061" s="278"/>
      <c r="E1061" s="279"/>
      <c r="F1061" s="278"/>
      <c r="G1061" s="278"/>
      <c r="H1061" s="280"/>
      <c r="I1061" s="280"/>
      <c r="J1061" s="280"/>
      <c r="K1061" s="281"/>
      <c r="L1061" s="278"/>
      <c r="M1061" s="280"/>
      <c r="N1061" s="280"/>
      <c r="O1061" s="280"/>
      <c r="P1061" s="280"/>
      <c r="Q1061" s="280"/>
      <c r="R1061" s="282"/>
      <c r="S1061" s="282"/>
      <c r="T1061" s="278"/>
      <c r="U1061" s="278"/>
    </row>
    <row r="1062" spans="1:21" ht="15">
      <c r="A1062" s="10"/>
      <c r="B1062" s="278"/>
      <c r="C1062" s="278"/>
      <c r="D1062" s="278"/>
      <c r="E1062" s="279"/>
      <c r="F1062" s="278"/>
      <c r="G1062" s="278"/>
      <c r="H1062" s="280"/>
      <c r="I1062" s="280"/>
      <c r="J1062" s="280"/>
      <c r="K1062" s="281"/>
      <c r="L1062" s="278"/>
      <c r="M1062" s="280"/>
      <c r="N1062" s="280"/>
      <c r="O1062" s="280"/>
      <c r="P1062" s="280"/>
      <c r="Q1062" s="280"/>
      <c r="R1062" s="282"/>
      <c r="S1062" s="282"/>
      <c r="T1062" s="278"/>
      <c r="U1062" s="278"/>
    </row>
    <row r="1063" spans="1:21" ht="15">
      <c r="A1063" s="10"/>
      <c r="B1063" s="278"/>
      <c r="C1063" s="278"/>
      <c r="D1063" s="278"/>
      <c r="E1063" s="279"/>
      <c r="F1063" s="278"/>
      <c r="G1063" s="278"/>
      <c r="H1063" s="280"/>
      <c r="I1063" s="280"/>
      <c r="J1063" s="280"/>
      <c r="K1063" s="281"/>
      <c r="L1063" s="278"/>
      <c r="M1063" s="280"/>
      <c r="N1063" s="280"/>
      <c r="O1063" s="280"/>
      <c r="P1063" s="280"/>
      <c r="Q1063" s="280"/>
      <c r="R1063" s="282"/>
      <c r="S1063" s="282"/>
      <c r="T1063" s="278"/>
      <c r="U1063" s="278"/>
    </row>
    <row r="1064" spans="1:21" ht="15">
      <c r="A1064" s="10"/>
      <c r="B1064" s="278"/>
      <c r="C1064" s="278"/>
      <c r="D1064" s="278"/>
      <c r="E1064" s="279"/>
      <c r="F1064" s="278"/>
      <c r="G1064" s="278"/>
      <c r="H1064" s="280"/>
      <c r="I1064" s="280"/>
      <c r="J1064" s="280"/>
      <c r="K1064" s="281"/>
      <c r="L1064" s="278"/>
      <c r="M1064" s="280"/>
      <c r="N1064" s="280"/>
      <c r="O1064" s="280"/>
      <c r="P1064" s="280"/>
      <c r="Q1064" s="280"/>
      <c r="R1064" s="282"/>
      <c r="S1064" s="282"/>
      <c r="T1064" s="278"/>
      <c r="U1064" s="278"/>
    </row>
    <row r="1065" spans="1:21" ht="15">
      <c r="A1065" s="10"/>
      <c r="B1065" s="278"/>
      <c r="C1065" s="278"/>
      <c r="D1065" s="278"/>
      <c r="E1065" s="279"/>
      <c r="F1065" s="278"/>
      <c r="G1065" s="278"/>
      <c r="H1065" s="280"/>
      <c r="I1065" s="280"/>
      <c r="J1065" s="280"/>
      <c r="K1065" s="281"/>
      <c r="L1065" s="278"/>
      <c r="M1065" s="280"/>
      <c r="N1065" s="280"/>
      <c r="O1065" s="280"/>
      <c r="P1065" s="280"/>
      <c r="Q1065" s="280"/>
      <c r="R1065" s="282"/>
      <c r="S1065" s="282"/>
      <c r="T1065" s="278"/>
      <c r="U1065" s="278"/>
    </row>
    <row r="1066" spans="1:21" ht="15">
      <c r="A1066" s="10"/>
      <c r="B1066" s="278"/>
      <c r="C1066" s="278"/>
      <c r="D1066" s="278"/>
      <c r="E1066" s="279"/>
      <c r="F1066" s="278"/>
      <c r="G1066" s="278"/>
      <c r="H1066" s="280"/>
      <c r="I1066" s="280"/>
      <c r="J1066" s="280"/>
      <c r="K1066" s="281"/>
      <c r="L1066" s="278"/>
      <c r="M1066" s="280"/>
      <c r="N1066" s="280"/>
      <c r="O1066" s="280"/>
      <c r="P1066" s="280"/>
      <c r="Q1066" s="280"/>
      <c r="R1066" s="282"/>
      <c r="S1066" s="282"/>
      <c r="T1066" s="278"/>
      <c r="U1066" s="278"/>
    </row>
    <row r="1067" spans="1:21" ht="15">
      <c r="A1067" s="10"/>
      <c r="B1067" s="278"/>
      <c r="C1067" s="278"/>
      <c r="D1067" s="278"/>
      <c r="E1067" s="279"/>
      <c r="F1067" s="278"/>
      <c r="G1067" s="278"/>
      <c r="H1067" s="280"/>
      <c r="I1067" s="280"/>
      <c r="J1067" s="280"/>
      <c r="K1067" s="281"/>
      <c r="L1067" s="278"/>
      <c r="M1067" s="280"/>
      <c r="N1067" s="280"/>
      <c r="O1067" s="280"/>
      <c r="P1067" s="280"/>
      <c r="Q1067" s="280"/>
      <c r="R1067" s="282"/>
      <c r="S1067" s="282"/>
      <c r="T1067" s="278"/>
      <c r="U1067" s="278"/>
    </row>
    <row r="1068" spans="1:21" ht="15">
      <c r="A1068" s="10"/>
      <c r="B1068" s="278"/>
      <c r="C1068" s="278"/>
      <c r="D1068" s="278"/>
      <c r="E1068" s="279"/>
      <c r="F1068" s="278"/>
      <c r="G1068" s="278"/>
      <c r="H1068" s="280"/>
      <c r="I1068" s="280"/>
      <c r="J1068" s="280"/>
      <c r="K1068" s="281"/>
      <c r="L1068" s="278"/>
      <c r="M1068" s="280"/>
      <c r="N1068" s="280"/>
      <c r="O1068" s="280"/>
      <c r="P1068" s="280"/>
      <c r="Q1068" s="280"/>
      <c r="R1068" s="282"/>
      <c r="S1068" s="282"/>
      <c r="T1068" s="278"/>
      <c r="U1068" s="278"/>
    </row>
    <row r="1069" spans="1:21" ht="15">
      <c r="A1069" s="10"/>
      <c r="B1069" s="278"/>
      <c r="C1069" s="278"/>
      <c r="D1069" s="278"/>
      <c r="E1069" s="279"/>
      <c r="F1069" s="278"/>
      <c r="G1069" s="278"/>
      <c r="H1069" s="280"/>
      <c r="I1069" s="280"/>
      <c r="J1069" s="280"/>
      <c r="K1069" s="281"/>
      <c r="L1069" s="278"/>
      <c r="M1069" s="280"/>
      <c r="N1069" s="280"/>
      <c r="O1069" s="280"/>
      <c r="P1069" s="280"/>
      <c r="Q1069" s="280"/>
      <c r="R1069" s="282"/>
      <c r="S1069" s="282"/>
      <c r="T1069" s="278"/>
      <c r="U1069" s="278"/>
    </row>
    <row r="1070" spans="1:21" ht="15">
      <c r="A1070" s="10"/>
      <c r="B1070" s="278"/>
      <c r="C1070" s="278"/>
      <c r="D1070" s="278"/>
      <c r="E1070" s="279"/>
      <c r="F1070" s="278"/>
      <c r="G1070" s="278"/>
      <c r="H1070" s="280"/>
      <c r="I1070" s="280"/>
      <c r="J1070" s="280"/>
      <c r="K1070" s="281"/>
      <c r="L1070" s="278"/>
      <c r="M1070" s="280"/>
      <c r="N1070" s="280"/>
      <c r="O1070" s="280"/>
      <c r="P1070" s="280"/>
      <c r="Q1070" s="280"/>
      <c r="R1070" s="282"/>
      <c r="S1070" s="282"/>
      <c r="T1070" s="278"/>
      <c r="U1070" s="278"/>
    </row>
    <row r="1071" spans="1:21" ht="15">
      <c r="A1071" s="10"/>
      <c r="B1071" s="278"/>
      <c r="C1071" s="278"/>
      <c r="D1071" s="278"/>
      <c r="E1071" s="279"/>
      <c r="F1071" s="278"/>
      <c r="G1071" s="278"/>
      <c r="H1071" s="280"/>
      <c r="I1071" s="280"/>
      <c r="J1071" s="280"/>
      <c r="K1071" s="281"/>
      <c r="L1071" s="278"/>
      <c r="M1071" s="280"/>
      <c r="N1071" s="280"/>
      <c r="O1071" s="280"/>
      <c r="P1071" s="280"/>
      <c r="Q1071" s="280"/>
      <c r="R1071" s="282"/>
      <c r="S1071" s="282"/>
      <c r="T1071" s="278"/>
      <c r="U1071" s="278"/>
    </row>
  </sheetData>
  <sheetProtection/>
  <autoFilter ref="A1:V1071"/>
  <mergeCells count="103">
    <mergeCell ref="V22:V24"/>
    <mergeCell ref="M22:Q22"/>
    <mergeCell ref="C23:C24"/>
    <mergeCell ref="I23:I24"/>
    <mergeCell ref="G22:G24"/>
    <mergeCell ref="H22:H24"/>
    <mergeCell ref="J23:J24"/>
    <mergeCell ref="U22:U24"/>
    <mergeCell ref="S22:S24"/>
    <mergeCell ref="A20:T20"/>
    <mergeCell ref="D23:D24"/>
    <mergeCell ref="O23:O24"/>
    <mergeCell ref="P23:P24"/>
    <mergeCell ref="M23:M24"/>
    <mergeCell ref="B21:T21"/>
    <mergeCell ref="B22:B24"/>
    <mergeCell ref="K22:K24"/>
    <mergeCell ref="A47:U47"/>
    <mergeCell ref="A145:U145"/>
    <mergeCell ref="I22:J22"/>
    <mergeCell ref="Q23:Q24"/>
    <mergeCell ref="A51:U51"/>
    <mergeCell ref="A60:U60"/>
    <mergeCell ref="F22:F24"/>
    <mergeCell ref="R22:R24"/>
    <mergeCell ref="L22:L24"/>
    <mergeCell ref="A165:U165"/>
    <mergeCell ref="A32:U32"/>
    <mergeCell ref="T22:T24"/>
    <mergeCell ref="A27:U27"/>
    <mergeCell ref="A43:U43"/>
    <mergeCell ref="N23:N24"/>
    <mergeCell ref="A28:U28"/>
    <mergeCell ref="A22:A24"/>
    <mergeCell ref="C22:D22"/>
    <mergeCell ref="E22:E24"/>
    <mergeCell ref="A171:U171"/>
    <mergeCell ref="A64:U64"/>
    <mergeCell ref="A71:U71"/>
    <mergeCell ref="A151:U151"/>
    <mergeCell ref="A148:U148"/>
    <mergeCell ref="A107:U107"/>
    <mergeCell ref="A85:U85"/>
    <mergeCell ref="A120:U120"/>
    <mergeCell ref="A95:U95"/>
    <mergeCell ref="A100:U100"/>
    <mergeCell ref="A161:U161"/>
    <mergeCell ref="A76:U76"/>
    <mergeCell ref="A437:U437"/>
    <mergeCell ref="A428:U428"/>
    <mergeCell ref="A216:U216"/>
    <mergeCell ref="A245:U245"/>
    <mergeCell ref="A399:U399"/>
    <mergeCell ref="A256:U256"/>
    <mergeCell ref="A404:U404"/>
    <mergeCell ref="A184:U184"/>
    <mergeCell ref="A609:U609"/>
    <mergeCell ref="A618:U618"/>
    <mergeCell ref="A421:U421"/>
    <mergeCell ref="A526:U526"/>
    <mergeCell ref="A441:U441"/>
    <mergeCell ref="A523:U523"/>
    <mergeCell ref="A504:U504"/>
    <mergeCell ref="A469:U469"/>
    <mergeCell ref="A519:U519"/>
    <mergeCell ref="A534:U534"/>
    <mergeCell ref="A398:U398"/>
    <mergeCell ref="A446:U446"/>
    <mergeCell ref="A488:U488"/>
    <mergeCell ref="A507:U507"/>
    <mergeCell ref="A457:U457"/>
    <mergeCell ref="A408:U408"/>
    <mergeCell ref="A465:U465"/>
    <mergeCell ref="A474:U474"/>
    <mergeCell ref="A416:U416"/>
    <mergeCell ref="A576:U576"/>
    <mergeCell ref="A752:U752"/>
    <mergeCell ref="A756:U756"/>
    <mergeCell ref="A931:U931"/>
    <mergeCell ref="A775:U775"/>
    <mergeCell ref="A869:U869"/>
    <mergeCell ref="A905:U905"/>
    <mergeCell ref="A803:U803"/>
    <mergeCell ref="A822:U822"/>
    <mergeCell ref="A796:U796"/>
    <mergeCell ref="C1050:D1050"/>
    <mergeCell ref="C1051:D1051"/>
    <mergeCell ref="A761:U761"/>
    <mergeCell ref="A1047:U1047"/>
    <mergeCell ref="A938:U938"/>
    <mergeCell ref="A845:U845"/>
    <mergeCell ref="A852:U852"/>
    <mergeCell ref="A787:U787"/>
    <mergeCell ref="A781:U781"/>
    <mergeCell ref="A771:U771"/>
    <mergeCell ref="A855:U855"/>
    <mergeCell ref="A858:U858"/>
    <mergeCell ref="A842:U842"/>
    <mergeCell ref="A799:U799"/>
    <mergeCell ref="A737:U737"/>
    <mergeCell ref="A738:U738"/>
    <mergeCell ref="A745:U745"/>
    <mergeCell ref="A741:U741"/>
  </mergeCells>
  <conditionalFormatting sqref="S742:S743 S753:S754 S772:S773 S800:S801 S856 S932:T936 S788:S794 S843 S804:S820 S739 S762:S769 S797 S823:S840 S846:S850 S853 S757:S759 S782:S785 S776:S779 S859:S867 S906:T929 S746:S750 S870:S903 S475:S486 S417:S419 S438:S439 S524 S610:S616 S429:S435 S505 S422:S426 S458:S463 S447:S455 S442:S444 S508:S518 S489:S502 S520:S521 S527:S532 S409:S414 S535:S574 S577:S607 S29:S30 S96:S98 S246:T254 S146 S152:S155 S159 S149 S44:S45 S52:S58 S61:S62 S65:S69 S77:S83 S86:S93 S108:S118 S121:S143 S162:S163 S166:S169 S185:T214 S33:S41 S101:S105 S48:S49 S172:S182 S217:T243">
    <cfRule type="cellIs" priority="270" dxfId="0" operator="equal" stopIfTrue="1">
      <formula>$B$24</formula>
    </cfRule>
  </conditionalFormatting>
  <conditionalFormatting sqref="M755 Q755 R753:R754 R757:R760 M420 Q420 R417:R419 S405:S406 R422:R426 S400:S402 R44:R46 R49:R50 S257:S395">
    <cfRule type="cellIs" priority="268" dxfId="0" operator="equal">
      <formula>$B$25</formula>
    </cfRule>
  </conditionalFormatting>
  <conditionalFormatting sqref="S728:S734">
    <cfRule type="cellIs" priority="17" dxfId="0" operator="equal" stopIfTrue="1">
      <formula>перечень!#REF!</formula>
    </cfRule>
  </conditionalFormatting>
  <conditionalFormatting sqref="S156:S158">
    <cfRule type="cellIs" priority="38" dxfId="0" operator="equal" stopIfTrue="1">
      <formula>$B$11</formula>
    </cfRule>
  </conditionalFormatting>
  <printOptions/>
  <pageMargins left="0.35433070866141736" right="0.1968503937007874" top="0.984251968503937" bottom="0.7874015748031497" header="0.5118110236220472" footer="0.5118110236220472"/>
  <pageSetup orientation="landscape" paperSize="9" scale="49" r:id="rId1"/>
  <headerFooter alignWithMargins="0">
    <oddHeader>&amp;C&amp;"Times New Roman,обычный"&amp;12&amp;P</oddHeader>
  </headerFooter>
  <rowBreaks count="8" manualBreakCount="8">
    <brk id="255" max="21" man="1"/>
    <brk id="397" max="21" man="1"/>
    <brk id="617" max="21" man="1"/>
    <brk id="770" max="21" man="1"/>
    <brk id="909" max="21" man="1"/>
    <brk id="923" max="21" man="1"/>
    <brk id="986" max="21" man="1"/>
    <brk id="996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2"/>
  <sheetViews>
    <sheetView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5.00390625" style="189" customWidth="1"/>
    <col min="2" max="2" width="25.00390625" style="47" customWidth="1"/>
    <col min="3" max="3" width="15.625" style="47" customWidth="1"/>
    <col min="4" max="4" width="16.25390625" style="47" customWidth="1"/>
    <col min="5" max="5" width="15.375" style="47" bestFit="1" customWidth="1"/>
    <col min="6" max="6" width="18.00390625" style="47" customWidth="1"/>
    <col min="7" max="7" width="14.75390625" style="47" customWidth="1"/>
    <col min="8" max="9" width="15.375" style="47" customWidth="1"/>
    <col min="10" max="10" width="13.625" style="47" customWidth="1"/>
    <col min="11" max="11" width="12.875" style="47" customWidth="1"/>
    <col min="12" max="12" width="12.375" style="47" customWidth="1"/>
    <col min="13" max="13" width="14.00390625" style="47" customWidth="1"/>
    <col min="14" max="14" width="13.75390625" style="47" customWidth="1"/>
    <col min="15" max="15" width="13.375" style="47" customWidth="1"/>
    <col min="16" max="16" width="19.875" style="51" customWidth="1"/>
    <col min="17" max="16384" width="9.125" style="47" customWidth="1"/>
  </cols>
  <sheetData>
    <row r="1" spans="13:16" ht="12.75">
      <c r="M1" s="340" t="s">
        <v>388</v>
      </c>
      <c r="N1" s="341"/>
      <c r="O1" s="341"/>
      <c r="P1" s="341"/>
    </row>
    <row r="2" spans="13:16" ht="12.75">
      <c r="M2" s="341"/>
      <c r="N2" s="341"/>
      <c r="O2" s="341"/>
      <c r="P2" s="341"/>
    </row>
    <row r="3" spans="13:16" ht="12.75">
      <c r="M3" s="341"/>
      <c r="N3" s="341"/>
      <c r="O3" s="341"/>
      <c r="P3" s="341"/>
    </row>
    <row r="4" spans="13:16" ht="12.75">
      <c r="M4" s="341"/>
      <c r="N4" s="341"/>
      <c r="O4" s="341"/>
      <c r="P4" s="341"/>
    </row>
    <row r="5" spans="13:16" ht="12.75">
      <c r="M5" s="341"/>
      <c r="N5" s="341"/>
      <c r="O5" s="341"/>
      <c r="P5" s="341"/>
    </row>
    <row r="6" spans="13:16" ht="12.75">
      <c r="M6" s="341"/>
      <c r="N6" s="341"/>
      <c r="O6" s="341"/>
      <c r="P6" s="341"/>
    </row>
    <row r="9" spans="2:16" ht="12.7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340" t="s">
        <v>504</v>
      </c>
      <c r="N9" s="341"/>
      <c r="O9" s="341"/>
      <c r="P9" s="341"/>
    </row>
    <row r="10" spans="2:16" ht="12.7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341"/>
      <c r="N10" s="341"/>
      <c r="O10" s="341"/>
      <c r="P10" s="341"/>
    </row>
    <row r="11" spans="2:16" ht="12.7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341"/>
      <c r="N11" s="341"/>
      <c r="O11" s="341"/>
      <c r="P11" s="341"/>
    </row>
    <row r="12" spans="2:16" ht="12.75"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341"/>
      <c r="N12" s="341"/>
      <c r="O12" s="341"/>
      <c r="P12" s="341"/>
    </row>
    <row r="13" spans="2:16" ht="12.7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1"/>
      <c r="N13" s="341"/>
      <c r="O13" s="341"/>
      <c r="P13" s="341"/>
    </row>
    <row r="14" spans="2:16" ht="12.7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41"/>
      <c r="N14" s="341"/>
      <c r="O14" s="341"/>
      <c r="P14" s="341"/>
    </row>
    <row r="15" spans="2:16" ht="7.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341"/>
      <c r="N15" s="341"/>
      <c r="O15" s="341"/>
      <c r="P15" s="341"/>
    </row>
    <row r="16" spans="2:16" ht="6.75" customHeight="1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41"/>
      <c r="N16" s="341"/>
      <c r="O16" s="341"/>
      <c r="P16" s="341"/>
    </row>
    <row r="17" spans="2:16" ht="8.25" customHeight="1">
      <c r="B17" s="190"/>
      <c r="C17" s="51"/>
      <c r="D17" s="51"/>
      <c r="E17" s="51"/>
      <c r="F17" s="51"/>
      <c r="G17" s="51"/>
      <c r="H17" s="191"/>
      <c r="I17" s="191"/>
      <c r="J17" s="191"/>
      <c r="K17" s="192"/>
      <c r="L17" s="193"/>
      <c r="M17" s="341"/>
      <c r="N17" s="341"/>
      <c r="O17" s="341"/>
      <c r="P17" s="341"/>
    </row>
    <row r="18" spans="1:16" ht="71.25" customHeight="1">
      <c r="A18" s="350" t="s">
        <v>439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</row>
    <row r="19" spans="2:15" ht="18.75">
      <c r="B19" s="194"/>
      <c r="C19" s="19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51"/>
      <c r="O19" s="51"/>
    </row>
    <row r="20" spans="1:16" ht="94.5" customHeight="1">
      <c r="A20" s="196" t="s">
        <v>1435</v>
      </c>
      <c r="B20" s="8" t="s">
        <v>359</v>
      </c>
      <c r="C20" s="197" t="s">
        <v>661</v>
      </c>
      <c r="D20" s="197" t="s">
        <v>660</v>
      </c>
      <c r="E20" s="197" t="s">
        <v>865</v>
      </c>
      <c r="F20" s="351" t="s">
        <v>360</v>
      </c>
      <c r="G20" s="351"/>
      <c r="H20" s="351" t="s">
        <v>1349</v>
      </c>
      <c r="I20" s="351"/>
      <c r="J20" s="351" t="s">
        <v>1639</v>
      </c>
      <c r="K20" s="351"/>
      <c r="L20" s="351" t="s">
        <v>1640</v>
      </c>
      <c r="M20" s="351"/>
      <c r="N20" s="349" t="s">
        <v>1641</v>
      </c>
      <c r="O20" s="349"/>
      <c r="P20" s="260" t="s">
        <v>365</v>
      </c>
    </row>
    <row r="21" spans="1:16" ht="12.75">
      <c r="A21" s="198"/>
      <c r="B21" s="8" t="s">
        <v>361</v>
      </c>
      <c r="C21" s="8" t="s">
        <v>1444</v>
      </c>
      <c r="D21" s="8" t="s">
        <v>1444</v>
      </c>
      <c r="E21" s="8" t="s">
        <v>1444</v>
      </c>
      <c r="F21" s="8" t="s">
        <v>1441</v>
      </c>
      <c r="G21" s="8" t="s">
        <v>1444</v>
      </c>
      <c r="H21" s="8" t="s">
        <v>358</v>
      </c>
      <c r="I21" s="8" t="s">
        <v>1444</v>
      </c>
      <c r="J21" s="8" t="s">
        <v>1441</v>
      </c>
      <c r="K21" s="8" t="s">
        <v>1444</v>
      </c>
      <c r="L21" s="8" t="s">
        <v>1441</v>
      </c>
      <c r="M21" s="8" t="s">
        <v>1444</v>
      </c>
      <c r="N21" s="8" t="s">
        <v>362</v>
      </c>
      <c r="O21" s="8" t="s">
        <v>1444</v>
      </c>
      <c r="P21" s="260" t="s">
        <v>1444</v>
      </c>
    </row>
    <row r="22" spans="1:16" ht="12.75">
      <c r="A22" s="199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260">
        <v>16</v>
      </c>
    </row>
    <row r="23" spans="1:16" ht="12.75">
      <c r="A23" s="342" t="s">
        <v>1523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4"/>
    </row>
    <row r="24" spans="1:16" ht="12.75">
      <c r="A24" s="337" t="s">
        <v>1666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9"/>
    </row>
    <row r="25" spans="1:16" ht="25.5">
      <c r="A25" s="200">
        <v>1</v>
      </c>
      <c r="B25" s="20" t="s">
        <v>1397</v>
      </c>
      <c r="C25" s="17">
        <v>581815.4700000001</v>
      </c>
      <c r="D25" s="17"/>
      <c r="E25" s="17"/>
      <c r="F25" s="17">
        <v>246</v>
      </c>
      <c r="G25" s="17">
        <v>581815.4700000001</v>
      </c>
      <c r="H25" s="153"/>
      <c r="I25" s="153"/>
      <c r="J25" s="153"/>
      <c r="K25" s="153"/>
      <c r="L25" s="153"/>
      <c r="M25" s="153"/>
      <c r="N25" s="153"/>
      <c r="O25" s="153"/>
      <c r="P25" s="206"/>
    </row>
    <row r="26" spans="1:16" ht="25.5">
      <c r="A26" s="200">
        <v>2</v>
      </c>
      <c r="B26" s="20" t="s">
        <v>1527</v>
      </c>
      <c r="C26" s="17">
        <v>822629.49</v>
      </c>
      <c r="D26" s="17"/>
      <c r="E26" s="17"/>
      <c r="F26" s="17">
        <v>327</v>
      </c>
      <c r="G26" s="17">
        <v>822629.49</v>
      </c>
      <c r="H26" s="201"/>
      <c r="I26" s="153"/>
      <c r="J26" s="153"/>
      <c r="K26" s="153"/>
      <c r="L26" s="153"/>
      <c r="M26" s="153"/>
      <c r="N26" s="153"/>
      <c r="O26" s="153"/>
      <c r="P26" s="206"/>
    </row>
    <row r="27" spans="1:16" ht="12.75">
      <c r="A27" s="198"/>
      <c r="B27" s="202" t="s">
        <v>380</v>
      </c>
      <c r="C27" s="201">
        <f>SUM(C25:C26)</f>
        <v>1404444.96</v>
      </c>
      <c r="D27" s="201"/>
      <c r="E27" s="201"/>
      <c r="F27" s="201">
        <f>SUM(F25:F26)</f>
        <v>573</v>
      </c>
      <c r="G27" s="201">
        <f>SUM(G25:G26)</f>
        <v>1404444.96</v>
      </c>
      <c r="H27" s="153"/>
      <c r="I27" s="153"/>
      <c r="J27" s="153"/>
      <c r="K27" s="153"/>
      <c r="L27" s="153"/>
      <c r="M27" s="153"/>
      <c r="N27" s="153"/>
      <c r="O27" s="153"/>
      <c r="P27" s="206"/>
    </row>
    <row r="28" spans="1:16" ht="12.75">
      <c r="A28" s="337" t="s">
        <v>1667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9"/>
    </row>
    <row r="29" spans="1:16" ht="25.5">
      <c r="A29" s="196">
        <v>3</v>
      </c>
      <c r="B29" s="20" t="s">
        <v>648</v>
      </c>
      <c r="C29" s="17">
        <f>D29+E29+G29</f>
        <v>1932719.93</v>
      </c>
      <c r="D29" s="203">
        <v>360347.5599999998</v>
      </c>
      <c r="E29" s="153"/>
      <c r="F29" s="153">
        <v>679</v>
      </c>
      <c r="G29" s="204">
        <v>1572372.37</v>
      </c>
      <c r="H29" s="153"/>
      <c r="I29" s="153"/>
      <c r="J29" s="153"/>
      <c r="K29" s="153"/>
      <c r="L29" s="153"/>
      <c r="M29" s="153"/>
      <c r="N29" s="153"/>
      <c r="O29" s="153"/>
      <c r="P29" s="206"/>
    </row>
    <row r="30" spans="1:16" ht="25.5">
      <c r="A30" s="196">
        <v>4</v>
      </c>
      <c r="B30" s="205" t="s">
        <v>1398</v>
      </c>
      <c r="C30" s="17">
        <f aca="true" t="shared" si="0" ref="C30:C37">D30+E30+G30</f>
        <v>827587.02</v>
      </c>
      <c r="D30" s="203"/>
      <c r="E30" s="153"/>
      <c r="F30" s="153">
        <v>402</v>
      </c>
      <c r="G30" s="17">
        <v>827587.02</v>
      </c>
      <c r="H30" s="153"/>
      <c r="I30" s="153"/>
      <c r="J30" s="153"/>
      <c r="K30" s="153"/>
      <c r="L30" s="153"/>
      <c r="M30" s="153"/>
      <c r="N30" s="153"/>
      <c r="O30" s="153"/>
      <c r="P30" s="206"/>
    </row>
    <row r="31" spans="1:16" ht="25.5">
      <c r="A31" s="196">
        <v>5</v>
      </c>
      <c r="B31" s="20" t="s">
        <v>1399</v>
      </c>
      <c r="C31" s="17">
        <f t="shared" si="0"/>
        <v>2573935.14</v>
      </c>
      <c r="D31" s="203"/>
      <c r="E31" s="153"/>
      <c r="F31" s="8">
        <v>1120.5</v>
      </c>
      <c r="G31" s="17">
        <v>2573935.14</v>
      </c>
      <c r="H31" s="153"/>
      <c r="I31" s="153"/>
      <c r="J31" s="153"/>
      <c r="K31" s="153"/>
      <c r="L31" s="153"/>
      <c r="M31" s="153"/>
      <c r="N31" s="153"/>
      <c r="O31" s="153"/>
      <c r="P31" s="206"/>
    </row>
    <row r="32" spans="1:16" ht="25.5">
      <c r="A32" s="196">
        <v>6</v>
      </c>
      <c r="B32" s="20" t="s">
        <v>824</v>
      </c>
      <c r="C32" s="17">
        <f t="shared" si="0"/>
        <v>597455.6900000001</v>
      </c>
      <c r="D32" s="203">
        <v>436880.15</v>
      </c>
      <c r="E32" s="203">
        <v>160575.54</v>
      </c>
      <c r="F32" s="17"/>
      <c r="G32" s="153"/>
      <c r="H32" s="153"/>
      <c r="I32" s="153"/>
      <c r="J32" s="153"/>
      <c r="K32" s="153"/>
      <c r="L32" s="153"/>
      <c r="M32" s="153"/>
      <c r="N32" s="153"/>
      <c r="O32" s="153"/>
      <c r="P32" s="206"/>
    </row>
    <row r="33" spans="1:16" ht="26.25" customHeight="1">
      <c r="A33" s="196">
        <v>7</v>
      </c>
      <c r="B33" s="205" t="s">
        <v>181</v>
      </c>
      <c r="C33" s="17">
        <f t="shared" si="0"/>
        <v>1128486.46</v>
      </c>
      <c r="D33" s="203">
        <v>212818.72</v>
      </c>
      <c r="E33" s="153"/>
      <c r="F33" s="153">
        <v>377</v>
      </c>
      <c r="G33" s="203">
        <v>915667.74</v>
      </c>
      <c r="H33" s="153"/>
      <c r="I33" s="153"/>
      <c r="J33" s="153"/>
      <c r="K33" s="153"/>
      <c r="L33" s="153"/>
      <c r="M33" s="153"/>
      <c r="N33" s="153"/>
      <c r="O33" s="153"/>
      <c r="P33" s="206"/>
    </row>
    <row r="34" spans="1:16" ht="27" customHeight="1">
      <c r="A34" s="196">
        <v>8</v>
      </c>
      <c r="B34" s="205" t="s">
        <v>183</v>
      </c>
      <c r="C34" s="17">
        <f t="shared" si="0"/>
        <v>1811094.3</v>
      </c>
      <c r="D34" s="203"/>
      <c r="E34" s="153"/>
      <c r="F34" s="153">
        <v>1180</v>
      </c>
      <c r="G34" s="17">
        <v>1811094.3</v>
      </c>
      <c r="H34" s="153"/>
      <c r="I34" s="153"/>
      <c r="J34" s="153"/>
      <c r="K34" s="153"/>
      <c r="L34" s="153"/>
      <c r="M34" s="153"/>
      <c r="N34" s="153"/>
      <c r="O34" s="153"/>
      <c r="P34" s="206"/>
    </row>
    <row r="35" spans="1:16" ht="25.5">
      <c r="A35" s="196">
        <v>9</v>
      </c>
      <c r="B35" s="205" t="s">
        <v>184</v>
      </c>
      <c r="C35" s="17">
        <f t="shared" si="0"/>
        <v>1036856</v>
      </c>
      <c r="D35" s="203">
        <v>54008.32999999996</v>
      </c>
      <c r="E35" s="153"/>
      <c r="F35" s="153">
        <v>397</v>
      </c>
      <c r="G35" s="203">
        <v>982847.67</v>
      </c>
      <c r="H35" s="153"/>
      <c r="I35" s="153"/>
      <c r="J35" s="153"/>
      <c r="K35" s="153"/>
      <c r="L35" s="153"/>
      <c r="M35" s="153"/>
      <c r="N35" s="153"/>
      <c r="O35" s="153"/>
      <c r="P35" s="206"/>
    </row>
    <row r="36" spans="1:16" ht="25.5">
      <c r="A36" s="196">
        <v>10</v>
      </c>
      <c r="B36" s="205" t="s">
        <v>185</v>
      </c>
      <c r="C36" s="17">
        <f t="shared" si="0"/>
        <v>2453528.83</v>
      </c>
      <c r="D36" s="203">
        <v>1151614.52</v>
      </c>
      <c r="E36" s="153"/>
      <c r="F36" s="153">
        <v>941</v>
      </c>
      <c r="G36" s="203">
        <v>1301914.31</v>
      </c>
      <c r="H36" s="153"/>
      <c r="I36" s="153"/>
      <c r="J36" s="153"/>
      <c r="K36" s="153"/>
      <c r="L36" s="153"/>
      <c r="M36" s="153"/>
      <c r="N36" s="153"/>
      <c r="O36" s="153"/>
      <c r="P36" s="206"/>
    </row>
    <row r="37" spans="1:16" ht="25.5">
      <c r="A37" s="196">
        <v>11</v>
      </c>
      <c r="B37" s="205" t="s">
        <v>186</v>
      </c>
      <c r="C37" s="17">
        <f t="shared" si="0"/>
        <v>1778610.63</v>
      </c>
      <c r="D37" s="203">
        <v>717548.56</v>
      </c>
      <c r="E37" s="153"/>
      <c r="F37" s="153">
        <v>740.3</v>
      </c>
      <c r="G37" s="203">
        <v>1061062.0699999998</v>
      </c>
      <c r="H37" s="153"/>
      <c r="I37" s="153"/>
      <c r="J37" s="153"/>
      <c r="K37" s="153"/>
      <c r="L37" s="153"/>
      <c r="M37" s="153"/>
      <c r="N37" s="153"/>
      <c r="O37" s="153"/>
      <c r="P37" s="206"/>
    </row>
    <row r="38" spans="1:16" ht="12.75">
      <c r="A38" s="196"/>
      <c r="B38" s="202" t="s">
        <v>380</v>
      </c>
      <c r="C38" s="201">
        <f>SUM(C29:C37)</f>
        <v>14140274</v>
      </c>
      <c r="D38" s="201">
        <f>SUM(D29:D37)</f>
        <v>2933217.84</v>
      </c>
      <c r="E38" s="201">
        <f>SUM(E29:E37)</f>
        <v>160575.54</v>
      </c>
      <c r="F38" s="201">
        <f>SUM(F29:F37)</f>
        <v>5836.8</v>
      </c>
      <c r="G38" s="201">
        <f>SUM(G29:G37)</f>
        <v>11046480.620000001</v>
      </c>
      <c r="H38" s="207"/>
      <c r="I38" s="207"/>
      <c r="J38" s="207"/>
      <c r="K38" s="207"/>
      <c r="L38" s="207"/>
      <c r="M38" s="207"/>
      <c r="N38" s="201"/>
      <c r="O38" s="153"/>
      <c r="P38" s="206"/>
    </row>
    <row r="39" spans="1:16" ht="12.75">
      <c r="A39" s="337" t="s">
        <v>1367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9"/>
    </row>
    <row r="40" spans="1:16" ht="25.5">
      <c r="A40" s="196">
        <v>12</v>
      </c>
      <c r="B40" s="205" t="s">
        <v>1299</v>
      </c>
      <c r="C40" s="17">
        <f>D40+G40</f>
        <v>2184832.16</v>
      </c>
      <c r="D40" s="17">
        <v>210176.67</v>
      </c>
      <c r="E40" s="17"/>
      <c r="F40" s="17">
        <v>859</v>
      </c>
      <c r="G40" s="17">
        <v>1974655.49</v>
      </c>
      <c r="H40" s="153"/>
      <c r="I40" s="153"/>
      <c r="J40" s="153"/>
      <c r="K40" s="153"/>
      <c r="L40" s="153"/>
      <c r="M40" s="153"/>
      <c r="N40" s="153"/>
      <c r="O40" s="153"/>
      <c r="P40" s="206"/>
    </row>
    <row r="41" spans="1:16" ht="25.5">
      <c r="A41" s="196">
        <v>13</v>
      </c>
      <c r="B41" s="205" t="s">
        <v>1217</v>
      </c>
      <c r="C41" s="17">
        <f>D41+G41</f>
        <v>2927968.66</v>
      </c>
      <c r="D41" s="17"/>
      <c r="E41" s="17"/>
      <c r="F41" s="17">
        <v>1163</v>
      </c>
      <c r="G41" s="17">
        <v>2927968.66</v>
      </c>
      <c r="H41" s="153"/>
      <c r="I41" s="153"/>
      <c r="J41" s="153"/>
      <c r="K41" s="153"/>
      <c r="L41" s="153"/>
      <c r="M41" s="153"/>
      <c r="N41" s="153"/>
      <c r="O41" s="153"/>
      <c r="P41" s="206"/>
    </row>
    <row r="42" spans="1:16" ht="12.75">
      <c r="A42" s="196"/>
      <c r="B42" s="202" t="s">
        <v>1379</v>
      </c>
      <c r="C42" s="201">
        <f>SUM(C40:C41)</f>
        <v>5112800.82</v>
      </c>
      <c r="D42" s="201">
        <f>SUM(D40:D41)</f>
        <v>210176.67</v>
      </c>
      <c r="E42" s="201"/>
      <c r="F42" s="201">
        <f>SUM(F40:F41)</f>
        <v>2022</v>
      </c>
      <c r="G42" s="201">
        <f>SUM(G40:G41)</f>
        <v>4902624.15</v>
      </c>
      <c r="H42" s="201"/>
      <c r="I42" s="201"/>
      <c r="J42" s="201"/>
      <c r="K42" s="201"/>
      <c r="L42" s="201"/>
      <c r="M42" s="201"/>
      <c r="N42" s="153"/>
      <c r="O42" s="153"/>
      <c r="P42" s="206"/>
    </row>
    <row r="43" spans="1:16" ht="12.75">
      <c r="A43" s="337" t="s">
        <v>378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9"/>
    </row>
    <row r="44" spans="1:16" ht="25.5">
      <c r="A44" s="196">
        <v>14</v>
      </c>
      <c r="B44" s="205" t="s">
        <v>188</v>
      </c>
      <c r="C44" s="17">
        <f>G44</f>
        <v>798501.35</v>
      </c>
      <c r="D44" s="17"/>
      <c r="E44" s="17"/>
      <c r="F44" s="17">
        <v>421</v>
      </c>
      <c r="G44" s="17">
        <v>798501.35</v>
      </c>
      <c r="H44" s="8"/>
      <c r="I44" s="17"/>
      <c r="J44" s="17"/>
      <c r="K44" s="17"/>
      <c r="L44" s="8"/>
      <c r="M44" s="8"/>
      <c r="N44" s="8"/>
      <c r="O44" s="8"/>
      <c r="P44" s="206"/>
    </row>
    <row r="45" spans="1:16" ht="25.5">
      <c r="A45" s="196">
        <v>15</v>
      </c>
      <c r="B45" s="205" t="s">
        <v>148</v>
      </c>
      <c r="C45" s="17">
        <f>G45</f>
        <v>530735.52</v>
      </c>
      <c r="D45" s="17"/>
      <c r="E45" s="17"/>
      <c r="F45" s="17">
        <v>334</v>
      </c>
      <c r="G45" s="17">
        <v>530735.52</v>
      </c>
      <c r="H45" s="8"/>
      <c r="I45" s="8"/>
      <c r="J45" s="8"/>
      <c r="K45" s="8"/>
      <c r="L45" s="8"/>
      <c r="M45" s="8"/>
      <c r="N45" s="8"/>
      <c r="O45" s="8"/>
      <c r="P45" s="206"/>
    </row>
    <row r="46" spans="1:16" ht="12.75">
      <c r="A46" s="198"/>
      <c r="B46" s="202" t="s">
        <v>380</v>
      </c>
      <c r="C46" s="201">
        <f>SUM(C44:C45)</f>
        <v>1329236.87</v>
      </c>
      <c r="D46" s="201"/>
      <c r="E46" s="201"/>
      <c r="F46" s="201">
        <f>SUM(F44:F45)</f>
        <v>755</v>
      </c>
      <c r="G46" s="201">
        <f>SUM(G44:G45)</f>
        <v>1329236.87</v>
      </c>
      <c r="H46" s="201"/>
      <c r="I46" s="201"/>
      <c r="J46" s="201"/>
      <c r="K46" s="201"/>
      <c r="L46" s="201"/>
      <c r="M46" s="201"/>
      <c r="N46" s="207"/>
      <c r="O46" s="8"/>
      <c r="P46" s="206"/>
    </row>
    <row r="47" spans="1:16" ht="12.75">
      <c r="A47" s="337" t="s">
        <v>381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9"/>
    </row>
    <row r="48" spans="1:16" ht="38.25">
      <c r="A48" s="196">
        <v>16</v>
      </c>
      <c r="B48" s="20" t="s">
        <v>649</v>
      </c>
      <c r="C48" s="17">
        <f>D48+G48</f>
        <v>1437083.99</v>
      </c>
      <c r="D48" s="17">
        <v>232050.8600000001</v>
      </c>
      <c r="E48" s="17"/>
      <c r="F48" s="17">
        <v>507</v>
      </c>
      <c r="G48" s="17">
        <v>1205033.13</v>
      </c>
      <c r="H48" s="153"/>
      <c r="I48" s="153"/>
      <c r="J48" s="153"/>
      <c r="K48" s="153"/>
      <c r="L48" s="153"/>
      <c r="M48" s="153"/>
      <c r="N48" s="153"/>
      <c r="O48" s="153"/>
      <c r="P48" s="206"/>
    </row>
    <row r="49" spans="1:16" ht="25.5">
      <c r="A49" s="196">
        <v>17</v>
      </c>
      <c r="B49" s="205" t="s">
        <v>1400</v>
      </c>
      <c r="C49" s="17">
        <f aca="true" t="shared" si="1" ref="C49:C54">D49+G49</f>
        <v>135215.71</v>
      </c>
      <c r="D49" s="17">
        <v>135215.71</v>
      </c>
      <c r="E49" s="17"/>
      <c r="F49" s="17"/>
      <c r="G49" s="17"/>
      <c r="H49" s="153"/>
      <c r="I49" s="153"/>
      <c r="J49" s="153"/>
      <c r="K49" s="153"/>
      <c r="L49" s="153"/>
      <c r="M49" s="153"/>
      <c r="N49" s="153"/>
      <c r="O49" s="153"/>
      <c r="P49" s="206"/>
    </row>
    <row r="50" spans="1:16" ht="12.75">
      <c r="A50" s="196">
        <v>18</v>
      </c>
      <c r="B50" s="20" t="s">
        <v>1158</v>
      </c>
      <c r="C50" s="17">
        <f t="shared" si="1"/>
        <v>832451.06</v>
      </c>
      <c r="D50" s="17"/>
      <c r="E50" s="17"/>
      <c r="F50" s="17">
        <v>365.01</v>
      </c>
      <c r="G50" s="17">
        <v>832451.06</v>
      </c>
      <c r="H50" s="153"/>
      <c r="I50" s="153"/>
      <c r="J50" s="153"/>
      <c r="K50" s="153"/>
      <c r="L50" s="153"/>
      <c r="M50" s="153"/>
      <c r="N50" s="153"/>
      <c r="O50" s="153"/>
      <c r="P50" s="206"/>
    </row>
    <row r="51" spans="1:16" ht="25.5">
      <c r="A51" s="196">
        <v>19</v>
      </c>
      <c r="B51" s="205" t="s">
        <v>1402</v>
      </c>
      <c r="C51" s="17">
        <f t="shared" si="1"/>
        <v>134631.05</v>
      </c>
      <c r="D51" s="17">
        <v>134631.05</v>
      </c>
      <c r="E51" s="17"/>
      <c r="F51" s="17"/>
      <c r="G51" s="17"/>
      <c r="H51" s="153"/>
      <c r="I51" s="153"/>
      <c r="J51" s="153"/>
      <c r="K51" s="153"/>
      <c r="L51" s="153"/>
      <c r="M51" s="153"/>
      <c r="N51" s="153"/>
      <c r="O51" s="153"/>
      <c r="P51" s="206"/>
    </row>
    <row r="52" spans="1:16" ht="25.5">
      <c r="A52" s="196">
        <v>20</v>
      </c>
      <c r="B52" s="205" t="s">
        <v>912</v>
      </c>
      <c r="C52" s="17">
        <f t="shared" si="1"/>
        <v>1267646.95</v>
      </c>
      <c r="D52" s="17"/>
      <c r="E52" s="17"/>
      <c r="F52" s="17">
        <v>955.5</v>
      </c>
      <c r="G52" s="17">
        <v>1267646.95</v>
      </c>
      <c r="H52" s="153"/>
      <c r="I52" s="153"/>
      <c r="J52" s="153"/>
      <c r="K52" s="153"/>
      <c r="L52" s="153"/>
      <c r="M52" s="153"/>
      <c r="N52" s="153"/>
      <c r="O52" s="153"/>
      <c r="P52" s="206"/>
    </row>
    <row r="53" spans="1:16" ht="25.5">
      <c r="A53" s="196">
        <v>21</v>
      </c>
      <c r="B53" s="205" t="s">
        <v>913</v>
      </c>
      <c r="C53" s="17">
        <f t="shared" si="1"/>
        <v>4188479.13</v>
      </c>
      <c r="D53" s="17">
        <v>2096339.3399999999</v>
      </c>
      <c r="E53" s="17"/>
      <c r="F53" s="17">
        <v>1890</v>
      </c>
      <c r="G53" s="17">
        <v>2092139.79</v>
      </c>
      <c r="H53" s="153"/>
      <c r="I53" s="153"/>
      <c r="J53" s="153"/>
      <c r="K53" s="153"/>
      <c r="L53" s="153"/>
      <c r="M53" s="153"/>
      <c r="N53" s="153"/>
      <c r="O53" s="153"/>
      <c r="P53" s="206"/>
    </row>
    <row r="54" spans="1:16" ht="25.5">
      <c r="A54" s="196">
        <v>22</v>
      </c>
      <c r="B54" s="205" t="s">
        <v>1403</v>
      </c>
      <c r="C54" s="17">
        <f t="shared" si="1"/>
        <v>1552421.04</v>
      </c>
      <c r="D54" s="17"/>
      <c r="E54" s="17"/>
      <c r="F54" s="17">
        <v>622</v>
      </c>
      <c r="G54" s="17">
        <v>1552421.04</v>
      </c>
      <c r="H54" s="207"/>
      <c r="I54" s="153"/>
      <c r="J54" s="153"/>
      <c r="K54" s="153"/>
      <c r="L54" s="153"/>
      <c r="M54" s="153"/>
      <c r="N54" s="153"/>
      <c r="O54" s="153"/>
      <c r="P54" s="206"/>
    </row>
    <row r="55" spans="1:16" ht="12.75">
      <c r="A55" s="196"/>
      <c r="B55" s="202" t="s">
        <v>380</v>
      </c>
      <c r="C55" s="201">
        <f>SUM(C48:C54)</f>
        <v>9547928.93</v>
      </c>
      <c r="D55" s="201">
        <f>SUM(D48:D54)</f>
        <v>2598236.96</v>
      </c>
      <c r="E55" s="201"/>
      <c r="F55" s="201">
        <f>SUM(F48:F54)</f>
        <v>4339.51</v>
      </c>
      <c r="G55" s="201">
        <f>SUM(G48:G54)</f>
        <v>6949691.97</v>
      </c>
      <c r="H55" s="201"/>
      <c r="I55" s="201"/>
      <c r="J55" s="201"/>
      <c r="K55" s="201"/>
      <c r="L55" s="201"/>
      <c r="M55" s="201"/>
      <c r="N55" s="153"/>
      <c r="O55" s="153"/>
      <c r="P55" s="206"/>
    </row>
    <row r="56" spans="1:16" ht="12.75">
      <c r="A56" s="337" t="s">
        <v>1378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9"/>
    </row>
    <row r="57" spans="1:16" ht="25.5">
      <c r="A57" s="196">
        <v>23</v>
      </c>
      <c r="B57" s="205" t="s">
        <v>1528</v>
      </c>
      <c r="C57" s="17">
        <v>2143438.24</v>
      </c>
      <c r="D57" s="17"/>
      <c r="E57" s="17"/>
      <c r="F57" s="17">
        <v>873</v>
      </c>
      <c r="G57" s="17">
        <v>2143438.24</v>
      </c>
      <c r="H57" s="8"/>
      <c r="I57" s="208"/>
      <c r="J57" s="208"/>
      <c r="K57" s="208"/>
      <c r="L57" s="20"/>
      <c r="M57" s="20"/>
      <c r="N57" s="20"/>
      <c r="O57" s="20"/>
      <c r="P57" s="206"/>
    </row>
    <row r="58" spans="1:16" ht="25.5">
      <c r="A58" s="196">
        <v>24</v>
      </c>
      <c r="B58" s="205" t="s">
        <v>1218</v>
      </c>
      <c r="C58" s="17">
        <v>1876624.16</v>
      </c>
      <c r="D58" s="17"/>
      <c r="E58" s="17"/>
      <c r="F58" s="17">
        <v>966</v>
      </c>
      <c r="G58" s="17">
        <v>1876624.16</v>
      </c>
      <c r="H58" s="202"/>
      <c r="I58" s="208"/>
      <c r="J58" s="208"/>
      <c r="K58" s="208"/>
      <c r="L58" s="20"/>
      <c r="M58" s="20"/>
      <c r="N58" s="20"/>
      <c r="O58" s="20"/>
      <c r="P58" s="206"/>
    </row>
    <row r="59" spans="1:16" ht="12.75">
      <c r="A59" s="198"/>
      <c r="B59" s="202" t="s">
        <v>380</v>
      </c>
      <c r="C59" s="201">
        <f>SUM(C57:C58)</f>
        <v>4020062.4000000004</v>
      </c>
      <c r="D59" s="201"/>
      <c r="E59" s="201"/>
      <c r="F59" s="201">
        <f>SUM(F57:F58)</f>
        <v>1839</v>
      </c>
      <c r="G59" s="201">
        <f>SUM(G57:G58)</f>
        <v>4020062.4000000004</v>
      </c>
      <c r="H59" s="153"/>
      <c r="I59" s="153"/>
      <c r="J59" s="153"/>
      <c r="K59" s="153"/>
      <c r="L59" s="153"/>
      <c r="M59" s="153"/>
      <c r="N59" s="153"/>
      <c r="O59" s="20"/>
      <c r="P59" s="206"/>
    </row>
    <row r="60" spans="1:16" ht="12.75">
      <c r="A60" s="337" t="s">
        <v>1669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9"/>
    </row>
    <row r="61" spans="1:16" ht="25.5">
      <c r="A61" s="196">
        <v>25</v>
      </c>
      <c r="B61" s="205" t="s">
        <v>1645</v>
      </c>
      <c r="C61" s="17">
        <f>D61+E61+G61</f>
        <v>366428.39</v>
      </c>
      <c r="D61" s="17">
        <v>366428.39</v>
      </c>
      <c r="E61" s="17"/>
      <c r="F61" s="17"/>
      <c r="G61" s="17"/>
      <c r="H61" s="17"/>
      <c r="I61" s="17"/>
      <c r="J61" s="17"/>
      <c r="K61" s="17"/>
      <c r="L61" s="17"/>
      <c r="M61" s="17"/>
      <c r="N61" s="153"/>
      <c r="O61" s="153"/>
      <c r="P61" s="206"/>
    </row>
    <row r="62" spans="1:16" ht="25.5">
      <c r="A62" s="196">
        <v>26</v>
      </c>
      <c r="B62" s="205" t="s">
        <v>1219</v>
      </c>
      <c r="C62" s="17">
        <f>D62+E62+G62</f>
        <v>1219290.22</v>
      </c>
      <c r="D62" s="17">
        <v>316845.4</v>
      </c>
      <c r="E62" s="17"/>
      <c r="F62" s="17">
        <v>823</v>
      </c>
      <c r="G62" s="17">
        <v>902444.82</v>
      </c>
      <c r="H62" s="17"/>
      <c r="I62" s="17"/>
      <c r="J62" s="17"/>
      <c r="K62" s="17"/>
      <c r="L62" s="17"/>
      <c r="M62" s="17"/>
      <c r="N62" s="153"/>
      <c r="O62" s="153"/>
      <c r="P62" s="206"/>
    </row>
    <row r="63" spans="1:16" ht="25.5">
      <c r="A63" s="196">
        <v>27</v>
      </c>
      <c r="B63" s="205" t="s">
        <v>1220</v>
      </c>
      <c r="C63" s="17">
        <f>D63+E63+G63</f>
        <v>745257.14</v>
      </c>
      <c r="D63" s="17">
        <v>570264.54</v>
      </c>
      <c r="E63" s="17">
        <v>174992.6</v>
      </c>
      <c r="F63" s="17"/>
      <c r="G63" s="17"/>
      <c r="H63" s="17"/>
      <c r="I63" s="17"/>
      <c r="J63" s="17"/>
      <c r="K63" s="17"/>
      <c r="L63" s="17"/>
      <c r="M63" s="17"/>
      <c r="N63" s="153"/>
      <c r="O63" s="153"/>
      <c r="P63" s="206"/>
    </row>
    <row r="64" spans="1:16" ht="25.5">
      <c r="A64" s="196">
        <v>28</v>
      </c>
      <c r="B64" s="205" t="s">
        <v>192</v>
      </c>
      <c r="C64" s="17">
        <f>D64+E64+G64</f>
        <v>1231967.41</v>
      </c>
      <c r="D64" s="17"/>
      <c r="E64" s="17"/>
      <c r="F64" s="153">
        <v>516</v>
      </c>
      <c r="G64" s="17">
        <v>1231967.41</v>
      </c>
      <c r="H64" s="201"/>
      <c r="I64" s="17"/>
      <c r="J64" s="17"/>
      <c r="K64" s="17"/>
      <c r="L64" s="17"/>
      <c r="M64" s="17"/>
      <c r="N64" s="153"/>
      <c r="O64" s="153"/>
      <c r="P64" s="206"/>
    </row>
    <row r="65" spans="1:16" ht="25.5">
      <c r="A65" s="196">
        <v>29</v>
      </c>
      <c r="B65" s="205" t="s">
        <v>193</v>
      </c>
      <c r="C65" s="17">
        <f>D65+E65+G65</f>
        <v>2530788.83</v>
      </c>
      <c r="D65" s="17"/>
      <c r="E65" s="17"/>
      <c r="F65" s="153">
        <v>1060</v>
      </c>
      <c r="G65" s="17">
        <v>2530788.83</v>
      </c>
      <c r="H65" s="201"/>
      <c r="I65" s="17"/>
      <c r="J65" s="17"/>
      <c r="K65" s="17"/>
      <c r="L65" s="17"/>
      <c r="M65" s="17"/>
      <c r="N65" s="153"/>
      <c r="O65" s="153"/>
      <c r="P65" s="206"/>
    </row>
    <row r="66" spans="1:16" ht="12.75">
      <c r="A66" s="198"/>
      <c r="B66" s="202" t="s">
        <v>380</v>
      </c>
      <c r="C66" s="201">
        <f>SUM(C61:C65)</f>
        <v>6093731.99</v>
      </c>
      <c r="D66" s="201">
        <f>SUM(D61:D65)</f>
        <v>1253538.33</v>
      </c>
      <c r="E66" s="201">
        <f>SUM(E61:E65)</f>
        <v>174992.6</v>
      </c>
      <c r="F66" s="201">
        <f>SUM(F61:F65)</f>
        <v>2399</v>
      </c>
      <c r="G66" s="201">
        <f>SUM(G61:G65)</f>
        <v>4665201.0600000005</v>
      </c>
      <c r="H66" s="201"/>
      <c r="I66" s="201"/>
      <c r="J66" s="201"/>
      <c r="K66" s="201"/>
      <c r="L66" s="201"/>
      <c r="M66" s="201"/>
      <c r="N66" s="153"/>
      <c r="O66" s="153"/>
      <c r="P66" s="206"/>
    </row>
    <row r="67" spans="1:16" ht="12.75">
      <c r="A67" s="337" t="s">
        <v>1670</v>
      </c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9"/>
    </row>
    <row r="68" spans="1:16" ht="25.5">
      <c r="A68" s="196">
        <v>30</v>
      </c>
      <c r="B68" s="20" t="s">
        <v>1300</v>
      </c>
      <c r="C68" s="17">
        <f>D68+E68+G68</f>
        <v>108937.95000000001</v>
      </c>
      <c r="D68" s="17">
        <v>108937.95000000001</v>
      </c>
      <c r="E68" s="17"/>
      <c r="F68" s="17"/>
      <c r="G68" s="17"/>
      <c r="H68" s="153"/>
      <c r="I68" s="153"/>
      <c r="J68" s="153"/>
      <c r="K68" s="153"/>
      <c r="L68" s="153"/>
      <c r="M68" s="153"/>
      <c r="N68" s="153"/>
      <c r="O68" s="153"/>
      <c r="P68" s="206"/>
    </row>
    <row r="69" spans="1:16" ht="25.5">
      <c r="A69" s="196">
        <v>31</v>
      </c>
      <c r="B69" s="205" t="s">
        <v>194</v>
      </c>
      <c r="C69" s="17">
        <f>D69+E69+G69</f>
        <v>2485010.29</v>
      </c>
      <c r="D69" s="17"/>
      <c r="E69" s="17"/>
      <c r="F69" s="17">
        <v>1062</v>
      </c>
      <c r="G69" s="17">
        <v>2485010.29</v>
      </c>
      <c r="H69" s="207"/>
      <c r="I69" s="153"/>
      <c r="J69" s="153"/>
      <c r="K69" s="153"/>
      <c r="L69" s="153"/>
      <c r="M69" s="153"/>
      <c r="N69" s="153"/>
      <c r="O69" s="153"/>
      <c r="P69" s="206"/>
    </row>
    <row r="70" spans="1:16" ht="25.5">
      <c r="A70" s="196">
        <v>32</v>
      </c>
      <c r="B70" s="205" t="s">
        <v>1221</v>
      </c>
      <c r="C70" s="17">
        <f>D70+E70+G70</f>
        <v>972003.74</v>
      </c>
      <c r="D70" s="17"/>
      <c r="E70" s="17"/>
      <c r="F70" s="17">
        <v>393</v>
      </c>
      <c r="G70" s="17">
        <v>972003.74</v>
      </c>
      <c r="H70" s="207"/>
      <c r="I70" s="153"/>
      <c r="J70" s="153"/>
      <c r="K70" s="153"/>
      <c r="L70" s="153"/>
      <c r="M70" s="153"/>
      <c r="N70" s="153"/>
      <c r="O70" s="153"/>
      <c r="P70" s="206"/>
    </row>
    <row r="71" spans="1:16" ht="12.75">
      <c r="A71" s="209"/>
      <c r="B71" s="202" t="s">
        <v>380</v>
      </c>
      <c r="C71" s="201">
        <f>SUM(C68:C70)</f>
        <v>3565951.9800000004</v>
      </c>
      <c r="D71" s="201">
        <f>SUM(D68:D70)</f>
        <v>108937.95000000001</v>
      </c>
      <c r="E71" s="201"/>
      <c r="F71" s="201">
        <f>SUM(F68:F70)</f>
        <v>1455</v>
      </c>
      <c r="G71" s="201">
        <f>SUM(G68:G70)</f>
        <v>3457014.0300000003</v>
      </c>
      <c r="H71" s="153"/>
      <c r="I71" s="153"/>
      <c r="J71" s="153"/>
      <c r="K71" s="153"/>
      <c r="L71" s="153"/>
      <c r="M71" s="153"/>
      <c r="N71" s="153"/>
      <c r="O71" s="153"/>
      <c r="P71" s="206"/>
    </row>
    <row r="72" spans="1:16" ht="12.75">
      <c r="A72" s="337" t="s">
        <v>1360</v>
      </c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9"/>
    </row>
    <row r="73" spans="1:16" ht="25.5">
      <c r="A73" s="196">
        <v>33</v>
      </c>
      <c r="B73" s="205" t="s">
        <v>1222</v>
      </c>
      <c r="C73" s="17">
        <f>D73+E73+G73</f>
        <v>872396.47</v>
      </c>
      <c r="D73" s="17"/>
      <c r="E73" s="17"/>
      <c r="F73" s="17">
        <v>421.4</v>
      </c>
      <c r="G73" s="17">
        <v>872396.47</v>
      </c>
      <c r="H73" s="17"/>
      <c r="I73" s="17"/>
      <c r="J73" s="17"/>
      <c r="K73" s="17"/>
      <c r="L73" s="17"/>
      <c r="M73" s="17"/>
      <c r="N73" s="73"/>
      <c r="O73" s="73"/>
      <c r="P73" s="206"/>
    </row>
    <row r="74" spans="1:16" ht="25.5">
      <c r="A74" s="196">
        <v>34</v>
      </c>
      <c r="B74" s="205" t="s">
        <v>1054</v>
      </c>
      <c r="C74" s="17">
        <f aca="true" t="shared" si="2" ref="C74:C79">D74+E74+G74</f>
        <v>1034310.68</v>
      </c>
      <c r="D74" s="17">
        <v>1034310.68</v>
      </c>
      <c r="E74" s="17"/>
      <c r="F74" s="17"/>
      <c r="G74" s="17"/>
      <c r="H74" s="17"/>
      <c r="I74" s="17"/>
      <c r="J74" s="17"/>
      <c r="K74" s="17"/>
      <c r="L74" s="17"/>
      <c r="M74" s="17"/>
      <c r="N74" s="73"/>
      <c r="O74" s="73"/>
      <c r="P74" s="206"/>
    </row>
    <row r="75" spans="1:16" ht="25.5">
      <c r="A75" s="196">
        <v>35</v>
      </c>
      <c r="B75" s="205" t="s">
        <v>826</v>
      </c>
      <c r="C75" s="17">
        <f t="shared" si="2"/>
        <v>234052.54</v>
      </c>
      <c r="D75" s="17">
        <v>234052.54</v>
      </c>
      <c r="E75" s="17"/>
      <c r="F75" s="17"/>
      <c r="G75" s="17"/>
      <c r="H75" s="17"/>
      <c r="I75" s="17"/>
      <c r="J75" s="17"/>
      <c r="K75" s="17"/>
      <c r="L75" s="17"/>
      <c r="M75" s="17"/>
      <c r="N75" s="73"/>
      <c r="O75" s="73"/>
      <c r="P75" s="206"/>
    </row>
    <row r="76" spans="1:16" ht="25.5">
      <c r="A76" s="196">
        <v>36</v>
      </c>
      <c r="B76" s="20" t="s">
        <v>195</v>
      </c>
      <c r="C76" s="17">
        <f t="shared" si="2"/>
        <v>744553.64</v>
      </c>
      <c r="D76" s="17">
        <v>744553.64</v>
      </c>
      <c r="E76" s="17"/>
      <c r="F76" s="17"/>
      <c r="G76" s="17"/>
      <c r="H76" s="201"/>
      <c r="I76" s="17"/>
      <c r="J76" s="17"/>
      <c r="K76" s="17"/>
      <c r="L76" s="17"/>
      <c r="M76" s="17"/>
      <c r="N76" s="73"/>
      <c r="O76" s="73"/>
      <c r="P76" s="206"/>
    </row>
    <row r="77" spans="1:16" ht="25.5">
      <c r="A77" s="196">
        <v>37</v>
      </c>
      <c r="B77" s="20" t="s">
        <v>197</v>
      </c>
      <c r="C77" s="17">
        <f t="shared" si="2"/>
        <v>2000587.6</v>
      </c>
      <c r="D77" s="17"/>
      <c r="E77" s="17"/>
      <c r="F77" s="17">
        <v>880</v>
      </c>
      <c r="G77" s="17">
        <v>2000587.6</v>
      </c>
      <c r="H77" s="201"/>
      <c r="I77" s="17"/>
      <c r="J77" s="17"/>
      <c r="K77" s="17"/>
      <c r="L77" s="17"/>
      <c r="M77" s="17"/>
      <c r="N77" s="73"/>
      <c r="O77" s="73"/>
      <c r="P77" s="206"/>
    </row>
    <row r="78" spans="1:16" ht="25.5">
      <c r="A78" s="196">
        <v>38</v>
      </c>
      <c r="B78" s="20" t="s">
        <v>709</v>
      </c>
      <c r="C78" s="17">
        <f t="shared" si="2"/>
        <v>358906.08</v>
      </c>
      <c r="D78" s="17">
        <v>358906.08</v>
      </c>
      <c r="E78" s="17"/>
      <c r="F78" s="17"/>
      <c r="G78" s="17"/>
      <c r="H78" s="201"/>
      <c r="I78" s="17"/>
      <c r="J78" s="17"/>
      <c r="K78" s="17"/>
      <c r="L78" s="17"/>
      <c r="M78" s="17"/>
      <c r="N78" s="73"/>
      <c r="O78" s="73"/>
      <c r="P78" s="206"/>
    </row>
    <row r="79" spans="1:16" ht="19.5" customHeight="1">
      <c r="A79" s="196">
        <v>39</v>
      </c>
      <c r="B79" s="20" t="s">
        <v>703</v>
      </c>
      <c r="C79" s="17">
        <f t="shared" si="2"/>
        <v>1116339.58</v>
      </c>
      <c r="D79" s="17">
        <v>186505.8</v>
      </c>
      <c r="E79" s="17"/>
      <c r="F79" s="17">
        <v>374</v>
      </c>
      <c r="G79" s="17">
        <v>929833.78</v>
      </c>
      <c r="H79" s="201"/>
      <c r="I79" s="17"/>
      <c r="J79" s="17"/>
      <c r="K79" s="17"/>
      <c r="L79" s="17"/>
      <c r="M79" s="17"/>
      <c r="N79" s="73"/>
      <c r="O79" s="73"/>
      <c r="P79" s="206"/>
    </row>
    <row r="80" spans="1:16" ht="12.75">
      <c r="A80" s="198"/>
      <c r="B80" s="202" t="s">
        <v>380</v>
      </c>
      <c r="C80" s="201">
        <f>SUM(C73:C79)</f>
        <v>6361146.59</v>
      </c>
      <c r="D80" s="201">
        <f>SUM(D73:D79)</f>
        <v>2558328.7399999998</v>
      </c>
      <c r="E80" s="201"/>
      <c r="F80" s="201">
        <f>SUM(F73:F79)</f>
        <v>1675.4</v>
      </c>
      <c r="G80" s="201">
        <f>SUM(G73:G79)</f>
        <v>3802817.8500000006</v>
      </c>
      <c r="H80" s="201"/>
      <c r="I80" s="201"/>
      <c r="J80" s="201"/>
      <c r="K80" s="201"/>
      <c r="L80" s="201"/>
      <c r="M80" s="201"/>
      <c r="N80" s="153"/>
      <c r="O80" s="73"/>
      <c r="P80" s="206"/>
    </row>
    <row r="81" spans="1:16" ht="12.75">
      <c r="A81" s="337" t="s">
        <v>1361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9"/>
    </row>
    <row r="82" spans="1:16" ht="25.5">
      <c r="A82" s="196">
        <v>40</v>
      </c>
      <c r="B82" s="205" t="s">
        <v>1055</v>
      </c>
      <c r="C82" s="17">
        <f>D82+E82+G82</f>
        <v>600782.68</v>
      </c>
      <c r="D82" s="17"/>
      <c r="E82" s="8"/>
      <c r="F82" s="153">
        <v>291.9</v>
      </c>
      <c r="G82" s="17">
        <v>600782.68</v>
      </c>
      <c r="H82" s="73"/>
      <c r="I82" s="73"/>
      <c r="J82" s="73"/>
      <c r="K82" s="73"/>
      <c r="L82" s="73"/>
      <c r="M82" s="73"/>
      <c r="N82" s="73"/>
      <c r="O82" s="73"/>
      <c r="P82" s="206"/>
    </row>
    <row r="83" spans="1:16" ht="25.5">
      <c r="A83" s="196">
        <v>41</v>
      </c>
      <c r="B83" s="20" t="s">
        <v>1010</v>
      </c>
      <c r="C83" s="17">
        <f aca="true" t="shared" si="3" ref="C83:C89">D83+E83+G83</f>
        <v>1266069.65</v>
      </c>
      <c r="D83" s="17">
        <v>1266069.65</v>
      </c>
      <c r="E83" s="8"/>
      <c r="F83" s="8"/>
      <c r="G83" s="8"/>
      <c r="H83" s="73"/>
      <c r="I83" s="73"/>
      <c r="J83" s="73"/>
      <c r="K83" s="73"/>
      <c r="L83" s="8"/>
      <c r="M83" s="8"/>
      <c r="N83" s="73"/>
      <c r="O83" s="73"/>
      <c r="P83" s="206"/>
    </row>
    <row r="84" spans="1:16" ht="25.5">
      <c r="A84" s="196">
        <v>42</v>
      </c>
      <c r="B84" s="20" t="s">
        <v>137</v>
      </c>
      <c r="C84" s="17">
        <f t="shared" si="3"/>
        <v>315804.97</v>
      </c>
      <c r="D84" s="17">
        <v>315804.97</v>
      </c>
      <c r="E84" s="8"/>
      <c r="F84" s="153"/>
      <c r="G84" s="8"/>
      <c r="H84" s="73"/>
      <c r="I84" s="201"/>
      <c r="J84" s="73"/>
      <c r="K84" s="73"/>
      <c r="L84" s="73"/>
      <c r="M84" s="73"/>
      <c r="N84" s="73"/>
      <c r="O84" s="73"/>
      <c r="P84" s="206"/>
    </row>
    <row r="85" spans="1:16" ht="25.5">
      <c r="A85" s="196">
        <v>43</v>
      </c>
      <c r="B85" s="20" t="s">
        <v>140</v>
      </c>
      <c r="C85" s="17">
        <f t="shared" si="3"/>
        <v>873826.29</v>
      </c>
      <c r="D85" s="17">
        <v>873826.29</v>
      </c>
      <c r="E85" s="8"/>
      <c r="F85" s="153"/>
      <c r="G85" s="8"/>
      <c r="H85" s="73"/>
      <c r="I85" s="73"/>
      <c r="J85" s="73"/>
      <c r="K85" s="73"/>
      <c r="L85" s="73"/>
      <c r="M85" s="73"/>
      <c r="N85" s="73"/>
      <c r="O85" s="73"/>
      <c r="P85" s="206"/>
    </row>
    <row r="86" spans="1:16" ht="30" customHeight="1">
      <c r="A86" s="196">
        <v>44</v>
      </c>
      <c r="B86" s="20" t="s">
        <v>198</v>
      </c>
      <c r="C86" s="17">
        <f t="shared" si="3"/>
        <v>530629.1610999999</v>
      </c>
      <c r="D86" s="17">
        <v>530629.1610999999</v>
      </c>
      <c r="E86" s="8"/>
      <c r="F86" s="153"/>
      <c r="G86" s="17"/>
      <c r="H86" s="201"/>
      <c r="I86" s="201"/>
      <c r="J86" s="201"/>
      <c r="K86" s="201"/>
      <c r="L86" s="73"/>
      <c r="M86" s="73"/>
      <c r="N86" s="73"/>
      <c r="O86" s="73"/>
      <c r="P86" s="206"/>
    </row>
    <row r="87" spans="1:16" ht="27.75" customHeight="1">
      <c r="A87" s="196">
        <v>45</v>
      </c>
      <c r="B87" s="20" t="s">
        <v>199</v>
      </c>
      <c r="C87" s="17">
        <f t="shared" si="3"/>
        <v>1572993.02</v>
      </c>
      <c r="D87" s="17"/>
      <c r="E87" s="8"/>
      <c r="F87" s="153">
        <v>968</v>
      </c>
      <c r="G87" s="17">
        <v>1572993.02</v>
      </c>
      <c r="H87" s="201"/>
      <c r="I87" s="201"/>
      <c r="J87" s="201"/>
      <c r="K87" s="201"/>
      <c r="L87" s="73"/>
      <c r="M87" s="73"/>
      <c r="N87" s="73"/>
      <c r="O87" s="73"/>
      <c r="P87" s="206"/>
    </row>
    <row r="88" spans="1:16" ht="25.5">
      <c r="A88" s="196">
        <v>46</v>
      </c>
      <c r="B88" s="20" t="s">
        <v>200</v>
      </c>
      <c r="C88" s="17">
        <f t="shared" si="3"/>
        <v>294190.62</v>
      </c>
      <c r="D88" s="17">
        <v>294190.62</v>
      </c>
      <c r="E88" s="8"/>
      <c r="F88" s="153"/>
      <c r="G88" s="17"/>
      <c r="H88" s="201"/>
      <c r="I88" s="201"/>
      <c r="J88" s="201"/>
      <c r="K88" s="201"/>
      <c r="L88" s="73"/>
      <c r="M88" s="73"/>
      <c r="N88" s="73"/>
      <c r="O88" s="73"/>
      <c r="P88" s="206"/>
    </row>
    <row r="89" spans="1:16" ht="25.5">
      <c r="A89" s="196">
        <v>47</v>
      </c>
      <c r="B89" s="20" t="s">
        <v>1529</v>
      </c>
      <c r="C89" s="17">
        <f t="shared" si="3"/>
        <v>457034.83</v>
      </c>
      <c r="D89" s="17"/>
      <c r="E89" s="8"/>
      <c r="F89" s="153">
        <v>628.2</v>
      </c>
      <c r="G89" s="17">
        <v>457034.83</v>
      </c>
      <c r="H89" s="201"/>
      <c r="I89" s="201"/>
      <c r="J89" s="201"/>
      <c r="K89" s="201"/>
      <c r="L89" s="73"/>
      <c r="M89" s="73"/>
      <c r="N89" s="73"/>
      <c r="O89" s="73"/>
      <c r="P89" s="206"/>
    </row>
    <row r="90" spans="1:16" ht="12.75">
      <c r="A90" s="198"/>
      <c r="B90" s="202" t="s">
        <v>380</v>
      </c>
      <c r="C90" s="201">
        <f>SUM(C82:C89)</f>
        <v>5911331.2211</v>
      </c>
      <c r="D90" s="201">
        <f>SUM(D82:D89)</f>
        <v>3280520.6911000004</v>
      </c>
      <c r="E90" s="201"/>
      <c r="F90" s="201">
        <f>SUM(F82:F89)</f>
        <v>1888.1000000000001</v>
      </c>
      <c r="G90" s="201">
        <f>SUM(G82:G89)</f>
        <v>2630810.5300000003</v>
      </c>
      <c r="H90" s="201"/>
      <c r="I90" s="201"/>
      <c r="J90" s="201"/>
      <c r="K90" s="201"/>
      <c r="L90" s="201"/>
      <c r="M90" s="201"/>
      <c r="N90" s="153"/>
      <c r="O90" s="73"/>
      <c r="P90" s="206"/>
    </row>
    <row r="91" spans="1:16" ht="12.75">
      <c r="A91" s="337" t="s">
        <v>1363</v>
      </c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9"/>
    </row>
    <row r="92" spans="1:16" ht="25.5">
      <c r="A92" s="210">
        <v>48</v>
      </c>
      <c r="B92" s="211" t="s">
        <v>588</v>
      </c>
      <c r="C92" s="17">
        <f>D92+E92+G92</f>
        <v>181873.31</v>
      </c>
      <c r="D92" s="17">
        <v>181873.31</v>
      </c>
      <c r="E92" s="17"/>
      <c r="F92" s="17"/>
      <c r="G92" s="17"/>
      <c r="H92" s="153"/>
      <c r="I92" s="153"/>
      <c r="J92" s="153"/>
      <c r="K92" s="153"/>
      <c r="L92" s="153"/>
      <c r="M92" s="153"/>
      <c r="N92" s="153"/>
      <c r="O92" s="153"/>
      <c r="P92" s="206"/>
    </row>
    <row r="93" spans="1:16" ht="25.5">
      <c r="A93" s="196">
        <v>49</v>
      </c>
      <c r="B93" s="205" t="s">
        <v>1080</v>
      </c>
      <c r="C93" s="17">
        <f>D93+E93+G93</f>
        <v>3496837.48</v>
      </c>
      <c r="D93" s="17"/>
      <c r="E93" s="17"/>
      <c r="F93" s="17">
        <v>1970.1</v>
      </c>
      <c r="G93" s="17">
        <v>3496837.48</v>
      </c>
      <c r="H93" s="153"/>
      <c r="I93" s="153"/>
      <c r="J93" s="153"/>
      <c r="K93" s="153"/>
      <c r="L93" s="153"/>
      <c r="M93" s="153"/>
      <c r="N93" s="153"/>
      <c r="O93" s="153"/>
      <c r="P93" s="206"/>
    </row>
    <row r="94" spans="1:16" ht="25.5">
      <c r="A94" s="210">
        <v>50</v>
      </c>
      <c r="B94" s="205" t="s">
        <v>1646</v>
      </c>
      <c r="C94" s="17">
        <f>D94+E94+G94</f>
        <v>104309.75</v>
      </c>
      <c r="D94" s="17">
        <v>104309.75</v>
      </c>
      <c r="E94" s="17"/>
      <c r="F94" s="17"/>
      <c r="G94" s="17"/>
      <c r="H94" s="201"/>
      <c r="I94" s="153"/>
      <c r="J94" s="153"/>
      <c r="K94" s="153"/>
      <c r="L94" s="153"/>
      <c r="M94" s="153"/>
      <c r="N94" s="153"/>
      <c r="O94" s="153"/>
      <c r="P94" s="206"/>
    </row>
    <row r="95" spans="1:16" ht="12.75">
      <c r="A95" s="198"/>
      <c r="B95" s="202" t="s">
        <v>380</v>
      </c>
      <c r="C95" s="201">
        <f>SUM(C92:C94)</f>
        <v>3783020.54</v>
      </c>
      <c r="D95" s="201">
        <f>SUM(D92:D94)</f>
        <v>286183.06</v>
      </c>
      <c r="E95" s="201"/>
      <c r="F95" s="201">
        <f>SUM(F92:F94)</f>
        <v>1970.1</v>
      </c>
      <c r="G95" s="201">
        <f>SUM(G92:G94)</f>
        <v>3496837.48</v>
      </c>
      <c r="H95" s="153"/>
      <c r="I95" s="153"/>
      <c r="J95" s="153"/>
      <c r="K95" s="153"/>
      <c r="L95" s="153"/>
      <c r="M95" s="153"/>
      <c r="N95" s="153"/>
      <c r="O95" s="153"/>
      <c r="P95" s="206"/>
    </row>
    <row r="96" spans="1:16" ht="12.75">
      <c r="A96" s="337" t="s">
        <v>375</v>
      </c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9"/>
    </row>
    <row r="97" spans="1:16" ht="25.5">
      <c r="A97" s="196">
        <v>51</v>
      </c>
      <c r="B97" s="205" t="s">
        <v>583</v>
      </c>
      <c r="C97" s="17">
        <f>D97+G97+E97</f>
        <v>2400218.18</v>
      </c>
      <c r="D97" s="17">
        <v>425610.37</v>
      </c>
      <c r="E97" s="17"/>
      <c r="F97" s="17">
        <v>832.42</v>
      </c>
      <c r="G97" s="17">
        <v>1974607.81</v>
      </c>
      <c r="H97" s="201"/>
      <c r="I97" s="73"/>
      <c r="J97" s="73"/>
      <c r="K97" s="73"/>
      <c r="L97" s="73"/>
      <c r="M97" s="73"/>
      <c r="N97" s="73"/>
      <c r="O97" s="73"/>
      <c r="P97" s="206"/>
    </row>
    <row r="98" spans="1:16" ht="25.5">
      <c r="A98" s="196">
        <v>52</v>
      </c>
      <c r="B98" s="205" t="s">
        <v>914</v>
      </c>
      <c r="C98" s="17">
        <f>D98+G98+E98</f>
        <v>424642.2</v>
      </c>
      <c r="D98" s="17">
        <v>424642.2</v>
      </c>
      <c r="E98" s="17"/>
      <c r="F98" s="17"/>
      <c r="G98" s="17"/>
      <c r="H98" s="201"/>
      <c r="I98" s="207"/>
      <c r="J98" s="207"/>
      <c r="K98" s="207"/>
      <c r="L98" s="73"/>
      <c r="M98" s="73"/>
      <c r="N98" s="73"/>
      <c r="O98" s="73"/>
      <c r="P98" s="206"/>
    </row>
    <row r="99" spans="1:16" ht="25.5">
      <c r="A99" s="196">
        <v>53</v>
      </c>
      <c r="B99" s="205" t="s">
        <v>915</v>
      </c>
      <c r="C99" s="17">
        <f>D99+G99+E99</f>
        <v>670428.05</v>
      </c>
      <c r="D99" s="17"/>
      <c r="E99" s="17"/>
      <c r="F99" s="17">
        <v>264.66</v>
      </c>
      <c r="G99" s="17">
        <v>670428.05</v>
      </c>
      <c r="H99" s="201"/>
      <c r="I99" s="207"/>
      <c r="J99" s="207"/>
      <c r="K99" s="207"/>
      <c r="L99" s="73"/>
      <c r="M99" s="73"/>
      <c r="N99" s="73"/>
      <c r="O99" s="73"/>
      <c r="P99" s="206"/>
    </row>
    <row r="100" spans="1:16" ht="25.5">
      <c r="A100" s="196">
        <v>54</v>
      </c>
      <c r="B100" s="205" t="s">
        <v>916</v>
      </c>
      <c r="C100" s="17">
        <f>D100+G100+E100</f>
        <v>2108049.03</v>
      </c>
      <c r="D100" s="17"/>
      <c r="E100" s="17"/>
      <c r="F100" s="17">
        <v>879.31</v>
      </c>
      <c r="G100" s="17">
        <v>2108049.03</v>
      </c>
      <c r="H100" s="201"/>
      <c r="I100" s="207"/>
      <c r="J100" s="207"/>
      <c r="K100" s="207"/>
      <c r="L100" s="73"/>
      <c r="M100" s="73"/>
      <c r="N100" s="73"/>
      <c r="O100" s="73"/>
      <c r="P100" s="206"/>
    </row>
    <row r="101" spans="1:16" ht="27" customHeight="1">
      <c r="A101" s="196">
        <v>55</v>
      </c>
      <c r="B101" s="205" t="s">
        <v>1141</v>
      </c>
      <c r="C101" s="17">
        <f>D101+G101+E101</f>
        <v>941540.67</v>
      </c>
      <c r="D101" s="17"/>
      <c r="E101" s="17"/>
      <c r="F101" s="17">
        <v>392</v>
      </c>
      <c r="G101" s="17">
        <v>941540.67</v>
      </c>
      <c r="H101" s="201"/>
      <c r="I101" s="73"/>
      <c r="J101" s="73"/>
      <c r="K101" s="73"/>
      <c r="L101" s="73"/>
      <c r="M101" s="73"/>
      <c r="N101" s="73"/>
      <c r="O101" s="73"/>
      <c r="P101" s="206"/>
    </row>
    <row r="102" spans="1:16" ht="12.75">
      <c r="A102" s="198"/>
      <c r="B102" s="202" t="s">
        <v>380</v>
      </c>
      <c r="C102" s="201">
        <f>SUM(C97:C101)</f>
        <v>6544878.130000001</v>
      </c>
      <c r="D102" s="201">
        <f>SUM(D97:D101)</f>
        <v>850252.5700000001</v>
      </c>
      <c r="E102" s="201"/>
      <c r="F102" s="201">
        <f>SUM(F97:F101)</f>
        <v>2368.39</v>
      </c>
      <c r="G102" s="201">
        <f>SUM(G97:G101)</f>
        <v>5694625.5600000005</v>
      </c>
      <c r="H102" s="201"/>
      <c r="I102" s="201"/>
      <c r="J102" s="201"/>
      <c r="K102" s="201"/>
      <c r="L102" s="201"/>
      <c r="M102" s="201"/>
      <c r="N102" s="153"/>
      <c r="O102" s="73"/>
      <c r="P102" s="206"/>
    </row>
    <row r="103" spans="1:16" ht="12.75">
      <c r="A103" s="337" t="s">
        <v>382</v>
      </c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9"/>
    </row>
    <row r="104" spans="1:16" ht="15" customHeight="1">
      <c r="A104" s="196">
        <v>56</v>
      </c>
      <c r="B104" s="205" t="s">
        <v>710</v>
      </c>
      <c r="C104" s="17">
        <f>D104+E104+G104</f>
        <v>623708.9</v>
      </c>
      <c r="D104" s="17"/>
      <c r="E104" s="17"/>
      <c r="F104" s="17">
        <v>254</v>
      </c>
      <c r="G104" s="17">
        <v>623708.9</v>
      </c>
      <c r="H104" s="153"/>
      <c r="I104" s="153"/>
      <c r="J104" s="153"/>
      <c r="K104" s="153"/>
      <c r="L104" s="153"/>
      <c r="M104" s="153"/>
      <c r="N104" s="153"/>
      <c r="O104" s="153"/>
      <c r="P104" s="206"/>
    </row>
    <row r="105" spans="1:16" ht="27" customHeight="1">
      <c r="A105" s="196">
        <v>57</v>
      </c>
      <c r="B105" s="205" t="s">
        <v>1056</v>
      </c>
      <c r="C105" s="17">
        <f aca="true" t="shared" si="4" ref="C105:C114">D105+E105+G105</f>
        <v>926756.85</v>
      </c>
      <c r="D105" s="17"/>
      <c r="E105" s="17"/>
      <c r="F105" s="17">
        <v>411</v>
      </c>
      <c r="G105" s="17">
        <v>926756.85</v>
      </c>
      <c r="H105" s="153"/>
      <c r="I105" s="153"/>
      <c r="J105" s="153"/>
      <c r="K105" s="153"/>
      <c r="L105" s="153"/>
      <c r="M105" s="153"/>
      <c r="N105" s="153"/>
      <c r="O105" s="153"/>
      <c r="P105" s="206"/>
    </row>
    <row r="106" spans="1:16" ht="25.5">
      <c r="A106" s="196">
        <v>58</v>
      </c>
      <c r="B106" s="205" t="s">
        <v>1057</v>
      </c>
      <c r="C106" s="17">
        <f t="shared" si="4"/>
        <v>1460730.82</v>
      </c>
      <c r="D106" s="17"/>
      <c r="E106" s="17"/>
      <c r="F106" s="17">
        <v>630</v>
      </c>
      <c r="G106" s="17">
        <v>1460730.82</v>
      </c>
      <c r="H106" s="153"/>
      <c r="I106" s="153"/>
      <c r="J106" s="153"/>
      <c r="K106" s="153"/>
      <c r="L106" s="153"/>
      <c r="M106" s="153"/>
      <c r="N106" s="153"/>
      <c r="O106" s="153"/>
      <c r="P106" s="206"/>
    </row>
    <row r="107" spans="1:16" ht="25.5">
      <c r="A107" s="196">
        <v>59</v>
      </c>
      <c r="B107" s="205" t="s">
        <v>166</v>
      </c>
      <c r="C107" s="17">
        <f t="shared" si="4"/>
        <v>979606.31</v>
      </c>
      <c r="D107" s="17"/>
      <c r="E107" s="17"/>
      <c r="F107" s="17">
        <v>415</v>
      </c>
      <c r="G107" s="17">
        <v>979606.31</v>
      </c>
      <c r="H107" s="153"/>
      <c r="I107" s="153"/>
      <c r="J107" s="153"/>
      <c r="K107" s="153"/>
      <c r="L107" s="153"/>
      <c r="M107" s="153"/>
      <c r="N107" s="153"/>
      <c r="O107" s="153"/>
      <c r="P107" s="206"/>
    </row>
    <row r="108" spans="1:16" ht="25.5">
      <c r="A108" s="196">
        <v>60</v>
      </c>
      <c r="B108" s="205" t="s">
        <v>165</v>
      </c>
      <c r="C108" s="17">
        <f t="shared" si="4"/>
        <v>907981.16</v>
      </c>
      <c r="D108" s="17"/>
      <c r="E108" s="17"/>
      <c r="F108" s="17">
        <v>367</v>
      </c>
      <c r="G108" s="17">
        <v>907981.16</v>
      </c>
      <c r="H108" s="153"/>
      <c r="I108" s="153"/>
      <c r="J108" s="153"/>
      <c r="K108" s="153"/>
      <c r="L108" s="153"/>
      <c r="M108" s="153"/>
      <c r="N108" s="153"/>
      <c r="O108" s="153"/>
      <c r="P108" s="206"/>
    </row>
    <row r="109" spans="1:16" ht="25.5">
      <c r="A109" s="196">
        <v>61</v>
      </c>
      <c r="B109" s="205" t="s">
        <v>1058</v>
      </c>
      <c r="C109" s="17">
        <f t="shared" si="4"/>
        <v>1233090.15</v>
      </c>
      <c r="D109" s="17"/>
      <c r="E109" s="17"/>
      <c r="F109" s="17">
        <v>650</v>
      </c>
      <c r="G109" s="17">
        <v>1233090.15</v>
      </c>
      <c r="H109" s="153"/>
      <c r="I109" s="153"/>
      <c r="J109" s="153"/>
      <c r="K109" s="153"/>
      <c r="L109" s="153"/>
      <c r="M109" s="153"/>
      <c r="N109" s="153"/>
      <c r="O109" s="153"/>
      <c r="P109" s="206"/>
    </row>
    <row r="110" spans="1:16" ht="30.75" customHeight="1">
      <c r="A110" s="196">
        <v>62</v>
      </c>
      <c r="B110" s="205" t="s">
        <v>167</v>
      </c>
      <c r="C110" s="17">
        <f t="shared" si="4"/>
        <v>390067.56</v>
      </c>
      <c r="D110" s="17">
        <v>390067.56</v>
      </c>
      <c r="E110" s="17"/>
      <c r="F110" s="17"/>
      <c r="G110" s="17"/>
      <c r="H110" s="153"/>
      <c r="I110" s="153"/>
      <c r="J110" s="153"/>
      <c r="K110" s="153"/>
      <c r="L110" s="153"/>
      <c r="M110" s="153"/>
      <c r="N110" s="153"/>
      <c r="O110" s="153"/>
      <c r="P110" s="206"/>
    </row>
    <row r="111" spans="1:16" ht="30.75" customHeight="1">
      <c r="A111" s="196">
        <v>63</v>
      </c>
      <c r="B111" s="205" t="s">
        <v>168</v>
      </c>
      <c r="C111" s="17">
        <f t="shared" si="4"/>
        <v>396569.87</v>
      </c>
      <c r="D111" s="17">
        <v>396569.87</v>
      </c>
      <c r="E111" s="17"/>
      <c r="F111" s="17"/>
      <c r="G111" s="17"/>
      <c r="H111" s="153"/>
      <c r="I111" s="153"/>
      <c r="J111" s="153"/>
      <c r="K111" s="153"/>
      <c r="L111" s="153"/>
      <c r="M111" s="153"/>
      <c r="N111" s="153"/>
      <c r="O111" s="153"/>
      <c r="P111" s="206"/>
    </row>
    <row r="112" spans="1:16" ht="26.25" customHeight="1">
      <c r="A112" s="196">
        <v>64</v>
      </c>
      <c r="B112" s="205" t="s">
        <v>169</v>
      </c>
      <c r="C112" s="17">
        <f t="shared" si="4"/>
        <v>1940033.01</v>
      </c>
      <c r="D112" s="17"/>
      <c r="E112" s="17"/>
      <c r="F112" s="17">
        <v>851</v>
      </c>
      <c r="G112" s="17">
        <v>1940033.01</v>
      </c>
      <c r="H112" s="153"/>
      <c r="I112" s="153"/>
      <c r="J112" s="153"/>
      <c r="K112" s="153"/>
      <c r="L112" s="153"/>
      <c r="M112" s="153"/>
      <c r="N112" s="153"/>
      <c r="O112" s="153"/>
      <c r="P112" s="206"/>
    </row>
    <row r="113" spans="1:16" ht="25.5">
      <c r="A113" s="196">
        <v>65</v>
      </c>
      <c r="B113" s="205" t="s">
        <v>204</v>
      </c>
      <c r="C113" s="17">
        <f t="shared" si="4"/>
        <v>2377506.34</v>
      </c>
      <c r="D113" s="17"/>
      <c r="E113" s="17"/>
      <c r="F113" s="17">
        <v>1163</v>
      </c>
      <c r="G113" s="17">
        <v>2377506.34</v>
      </c>
      <c r="H113" s="153"/>
      <c r="I113" s="153"/>
      <c r="J113" s="153"/>
      <c r="K113" s="153"/>
      <c r="L113" s="153"/>
      <c r="M113" s="153"/>
      <c r="N113" s="153"/>
      <c r="O113" s="153"/>
      <c r="P113" s="206"/>
    </row>
    <row r="114" spans="1:16" ht="25.5">
      <c r="A114" s="196">
        <v>66</v>
      </c>
      <c r="B114" s="205" t="s">
        <v>1059</v>
      </c>
      <c r="C114" s="17">
        <f t="shared" si="4"/>
        <v>867900.12</v>
      </c>
      <c r="D114" s="17"/>
      <c r="E114" s="17"/>
      <c r="F114" s="17">
        <v>840</v>
      </c>
      <c r="G114" s="17">
        <v>867900.12</v>
      </c>
      <c r="H114" s="201"/>
      <c r="I114" s="153"/>
      <c r="J114" s="153"/>
      <c r="K114" s="153"/>
      <c r="L114" s="153"/>
      <c r="M114" s="153"/>
      <c r="N114" s="153"/>
      <c r="O114" s="153"/>
      <c r="P114" s="206"/>
    </row>
    <row r="115" spans="1:16" ht="12.75">
      <c r="A115" s="198"/>
      <c r="B115" s="202" t="s">
        <v>380</v>
      </c>
      <c r="C115" s="201">
        <f>SUM(C104:C114)</f>
        <v>12103951.089999998</v>
      </c>
      <c r="D115" s="201">
        <f>SUM(D104:D114)</f>
        <v>786637.4299999999</v>
      </c>
      <c r="E115" s="201"/>
      <c r="F115" s="201">
        <f>SUM(F104:F114)</f>
        <v>5581</v>
      </c>
      <c r="G115" s="201">
        <f>SUM(G104:G114)</f>
        <v>11317313.659999998</v>
      </c>
      <c r="H115" s="207"/>
      <c r="I115" s="153"/>
      <c r="J115" s="153"/>
      <c r="K115" s="153"/>
      <c r="L115" s="153"/>
      <c r="M115" s="153"/>
      <c r="N115" s="153"/>
      <c r="O115" s="153"/>
      <c r="P115" s="206"/>
    </row>
    <row r="116" spans="1:16" ht="12.75">
      <c r="A116" s="337" t="s">
        <v>1377</v>
      </c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38"/>
      <c r="O116" s="338"/>
      <c r="P116" s="339"/>
    </row>
    <row r="117" spans="1:16" ht="25.5">
      <c r="A117" s="196">
        <v>67</v>
      </c>
      <c r="B117" s="205" t="s">
        <v>1060</v>
      </c>
      <c r="C117" s="17">
        <f>D117+E117+G117</f>
        <v>856593.6</v>
      </c>
      <c r="D117" s="17"/>
      <c r="E117" s="17"/>
      <c r="F117" s="17">
        <v>670</v>
      </c>
      <c r="G117" s="17">
        <v>856593.6</v>
      </c>
      <c r="H117" s="153"/>
      <c r="I117" s="153"/>
      <c r="J117" s="153"/>
      <c r="K117" s="153"/>
      <c r="L117" s="153"/>
      <c r="M117" s="153"/>
      <c r="N117" s="153"/>
      <c r="O117" s="153"/>
      <c r="P117" s="206"/>
    </row>
    <row r="118" spans="1:16" ht="25.5">
      <c r="A118" s="196">
        <v>68</v>
      </c>
      <c r="B118" s="205" t="s">
        <v>1061</v>
      </c>
      <c r="C118" s="17">
        <f aca="true" t="shared" si="5" ref="C118:C139">D118+E118+G118</f>
        <v>1414932.33</v>
      </c>
      <c r="D118" s="17"/>
      <c r="E118" s="17"/>
      <c r="F118" s="17">
        <v>577</v>
      </c>
      <c r="G118" s="17">
        <v>1414932.33</v>
      </c>
      <c r="H118" s="153"/>
      <c r="I118" s="153"/>
      <c r="J118" s="153"/>
      <c r="K118" s="153"/>
      <c r="L118" s="153"/>
      <c r="M118" s="153"/>
      <c r="N118" s="153"/>
      <c r="O118" s="153"/>
      <c r="P118" s="206"/>
    </row>
    <row r="119" spans="1:16" ht="25.5">
      <c r="A119" s="196">
        <v>69</v>
      </c>
      <c r="B119" s="205" t="s">
        <v>1062</v>
      </c>
      <c r="C119" s="17">
        <f t="shared" si="5"/>
        <v>1580488.46</v>
      </c>
      <c r="D119" s="17"/>
      <c r="E119" s="17"/>
      <c r="F119" s="17">
        <v>1004.9</v>
      </c>
      <c r="G119" s="17">
        <v>1580488.46</v>
      </c>
      <c r="H119" s="153"/>
      <c r="I119" s="153"/>
      <c r="J119" s="153"/>
      <c r="K119" s="153"/>
      <c r="L119" s="153"/>
      <c r="M119" s="153"/>
      <c r="N119" s="153"/>
      <c r="O119" s="153"/>
      <c r="P119" s="206"/>
    </row>
    <row r="120" spans="1:16" ht="25.5">
      <c r="A120" s="196">
        <v>70</v>
      </c>
      <c r="B120" s="205" t="s">
        <v>1063</v>
      </c>
      <c r="C120" s="17">
        <f t="shared" si="5"/>
        <v>958281.7676</v>
      </c>
      <c r="D120" s="17"/>
      <c r="E120" s="17"/>
      <c r="F120" s="17">
        <v>619.71</v>
      </c>
      <c r="G120" s="17">
        <v>958281.7676</v>
      </c>
      <c r="H120" s="153"/>
      <c r="I120" s="153"/>
      <c r="J120" s="153"/>
      <c r="K120" s="153"/>
      <c r="L120" s="153"/>
      <c r="M120" s="153"/>
      <c r="N120" s="153"/>
      <c r="O120" s="153"/>
      <c r="P120" s="206"/>
    </row>
    <row r="121" spans="1:16" ht="25.5">
      <c r="A121" s="196">
        <v>71</v>
      </c>
      <c r="B121" s="205" t="s">
        <v>1064</v>
      </c>
      <c r="C121" s="17">
        <f t="shared" si="5"/>
        <v>1582057.75</v>
      </c>
      <c r="D121" s="17"/>
      <c r="E121" s="17"/>
      <c r="F121" s="17">
        <v>1005.9</v>
      </c>
      <c r="G121" s="17">
        <v>1582057.75</v>
      </c>
      <c r="H121" s="153"/>
      <c r="I121" s="153"/>
      <c r="J121" s="153"/>
      <c r="K121" s="153"/>
      <c r="L121" s="153"/>
      <c r="M121" s="153"/>
      <c r="N121" s="153"/>
      <c r="O121" s="153"/>
      <c r="P121" s="206"/>
    </row>
    <row r="122" spans="1:16" ht="25.5">
      <c r="A122" s="196">
        <v>72</v>
      </c>
      <c r="B122" s="205" t="s">
        <v>170</v>
      </c>
      <c r="C122" s="17">
        <f t="shared" si="5"/>
        <v>1153508.29</v>
      </c>
      <c r="D122" s="17">
        <v>1153508.29</v>
      </c>
      <c r="E122" s="17"/>
      <c r="F122" s="17"/>
      <c r="G122" s="17"/>
      <c r="H122" s="153"/>
      <c r="I122" s="153"/>
      <c r="J122" s="153"/>
      <c r="K122" s="153"/>
      <c r="L122" s="153"/>
      <c r="M122" s="153"/>
      <c r="N122" s="153"/>
      <c r="O122" s="153"/>
      <c r="P122" s="206"/>
    </row>
    <row r="123" spans="1:16" ht="25.5">
      <c r="A123" s="196">
        <v>73</v>
      </c>
      <c r="B123" s="205" t="s">
        <v>1180</v>
      </c>
      <c r="C123" s="17">
        <f t="shared" si="5"/>
        <v>501243.23</v>
      </c>
      <c r="D123" s="17">
        <v>501243.23</v>
      </c>
      <c r="E123" s="17"/>
      <c r="F123" s="17"/>
      <c r="G123" s="17"/>
      <c r="H123" s="153"/>
      <c r="I123" s="153"/>
      <c r="J123" s="153"/>
      <c r="K123" s="153"/>
      <c r="L123" s="153"/>
      <c r="M123" s="153"/>
      <c r="N123" s="153"/>
      <c r="O123" s="153"/>
      <c r="P123" s="206"/>
    </row>
    <row r="124" spans="1:16" ht="25.5">
      <c r="A124" s="196">
        <v>74</v>
      </c>
      <c r="B124" s="20" t="s">
        <v>650</v>
      </c>
      <c r="C124" s="17">
        <f t="shared" si="5"/>
        <v>1723100.17</v>
      </c>
      <c r="D124" s="17">
        <v>488556.02</v>
      </c>
      <c r="E124" s="17"/>
      <c r="F124" s="17">
        <v>740</v>
      </c>
      <c r="G124" s="17">
        <v>1234544.15</v>
      </c>
      <c r="H124" s="153"/>
      <c r="I124" s="153"/>
      <c r="J124" s="153"/>
      <c r="K124" s="153"/>
      <c r="L124" s="153"/>
      <c r="M124" s="153"/>
      <c r="N124" s="153"/>
      <c r="O124" s="153"/>
      <c r="P124" s="206"/>
    </row>
    <row r="125" spans="1:16" ht="25.5">
      <c r="A125" s="196">
        <v>75</v>
      </c>
      <c r="B125" s="20" t="s">
        <v>917</v>
      </c>
      <c r="C125" s="17">
        <f t="shared" si="5"/>
        <v>799222.5886</v>
      </c>
      <c r="D125" s="17">
        <v>799222.5886</v>
      </c>
      <c r="E125" s="17"/>
      <c r="F125" s="17"/>
      <c r="G125" s="17"/>
      <c r="H125" s="207"/>
      <c r="I125" s="153"/>
      <c r="J125" s="153"/>
      <c r="K125" s="153"/>
      <c r="L125" s="153"/>
      <c r="M125" s="153"/>
      <c r="N125" s="153"/>
      <c r="O125" s="153"/>
      <c r="P125" s="206"/>
    </row>
    <row r="126" spans="1:16" ht="25.5">
      <c r="A126" s="196">
        <v>76</v>
      </c>
      <c r="B126" s="20" t="s">
        <v>206</v>
      </c>
      <c r="C126" s="17">
        <f t="shared" si="5"/>
        <v>1546139.77</v>
      </c>
      <c r="D126" s="17">
        <v>1546139.77</v>
      </c>
      <c r="E126" s="17"/>
      <c r="F126" s="17"/>
      <c r="G126" s="17"/>
      <c r="H126" s="207"/>
      <c r="I126" s="153"/>
      <c r="J126" s="153"/>
      <c r="K126" s="153"/>
      <c r="L126" s="153"/>
      <c r="M126" s="153"/>
      <c r="N126" s="153"/>
      <c r="O126" s="153"/>
      <c r="P126" s="206"/>
    </row>
    <row r="127" spans="1:16" ht="25.5">
      <c r="A127" s="196">
        <v>77</v>
      </c>
      <c r="B127" s="20" t="s">
        <v>918</v>
      </c>
      <c r="C127" s="17">
        <f t="shared" si="5"/>
        <v>1709883.4</v>
      </c>
      <c r="D127" s="17">
        <v>1709883.4</v>
      </c>
      <c r="E127" s="17"/>
      <c r="F127" s="17"/>
      <c r="G127" s="17"/>
      <c r="H127" s="207"/>
      <c r="I127" s="153"/>
      <c r="J127" s="153"/>
      <c r="K127" s="153"/>
      <c r="L127" s="153"/>
      <c r="M127" s="153"/>
      <c r="N127" s="153"/>
      <c r="O127" s="153"/>
      <c r="P127" s="206"/>
    </row>
    <row r="128" spans="1:16" ht="25.5">
      <c r="A128" s="196">
        <v>78</v>
      </c>
      <c r="B128" s="20" t="s">
        <v>208</v>
      </c>
      <c r="C128" s="17">
        <f t="shared" si="5"/>
        <v>293491.58</v>
      </c>
      <c r="D128" s="17">
        <v>293491.58</v>
      </c>
      <c r="E128" s="17"/>
      <c r="F128" s="17"/>
      <c r="G128" s="17"/>
      <c r="H128" s="207"/>
      <c r="I128" s="153"/>
      <c r="J128" s="153"/>
      <c r="K128" s="153"/>
      <c r="L128" s="153"/>
      <c r="M128" s="153"/>
      <c r="N128" s="153"/>
      <c r="O128" s="153"/>
      <c r="P128" s="206"/>
    </row>
    <row r="129" spans="1:16" ht="25.5">
      <c r="A129" s="196">
        <v>79</v>
      </c>
      <c r="B129" s="20" t="s">
        <v>210</v>
      </c>
      <c r="C129" s="17">
        <f t="shared" si="5"/>
        <v>640590.73</v>
      </c>
      <c r="D129" s="17">
        <v>640590.73</v>
      </c>
      <c r="E129" s="17"/>
      <c r="F129" s="17"/>
      <c r="G129" s="17"/>
      <c r="H129" s="207"/>
      <c r="I129" s="153"/>
      <c r="J129" s="153"/>
      <c r="K129" s="153"/>
      <c r="L129" s="153"/>
      <c r="M129" s="153"/>
      <c r="N129" s="153"/>
      <c r="O129" s="153"/>
      <c r="P129" s="206"/>
    </row>
    <row r="130" spans="1:16" ht="25.5">
      <c r="A130" s="196">
        <v>80</v>
      </c>
      <c r="B130" s="20" t="s">
        <v>211</v>
      </c>
      <c r="C130" s="17">
        <f t="shared" si="5"/>
        <v>596761.84</v>
      </c>
      <c r="D130" s="17">
        <v>596761.84</v>
      </c>
      <c r="E130" s="17"/>
      <c r="F130" s="17"/>
      <c r="G130" s="17"/>
      <c r="H130" s="207"/>
      <c r="I130" s="153"/>
      <c r="J130" s="153"/>
      <c r="K130" s="153"/>
      <c r="L130" s="153"/>
      <c r="M130" s="153"/>
      <c r="N130" s="153"/>
      <c r="O130" s="153"/>
      <c r="P130" s="206"/>
    </row>
    <row r="131" spans="1:16" ht="25.5">
      <c r="A131" s="196">
        <v>81</v>
      </c>
      <c r="B131" s="20" t="s">
        <v>212</v>
      </c>
      <c r="C131" s="17">
        <f t="shared" si="5"/>
        <v>384456.47</v>
      </c>
      <c r="D131" s="17">
        <v>384456.47</v>
      </c>
      <c r="E131" s="17"/>
      <c r="F131" s="17"/>
      <c r="G131" s="17"/>
      <c r="H131" s="207"/>
      <c r="I131" s="153"/>
      <c r="J131" s="153"/>
      <c r="K131" s="153"/>
      <c r="L131" s="153"/>
      <c r="M131" s="153"/>
      <c r="N131" s="153"/>
      <c r="O131" s="153"/>
      <c r="P131" s="206"/>
    </row>
    <row r="132" spans="1:16" ht="25.5">
      <c r="A132" s="196">
        <v>82</v>
      </c>
      <c r="B132" s="20" t="s">
        <v>213</v>
      </c>
      <c r="C132" s="17">
        <f t="shared" si="5"/>
        <v>283282.18</v>
      </c>
      <c r="D132" s="17">
        <v>283282.18</v>
      </c>
      <c r="E132" s="17"/>
      <c r="F132" s="17"/>
      <c r="G132" s="17"/>
      <c r="H132" s="207"/>
      <c r="I132" s="153"/>
      <c r="J132" s="153"/>
      <c r="K132" s="153"/>
      <c r="L132" s="153"/>
      <c r="M132" s="153"/>
      <c r="N132" s="153"/>
      <c r="O132" s="153"/>
      <c r="P132" s="206"/>
    </row>
    <row r="133" spans="1:16" ht="25.5">
      <c r="A133" s="196">
        <v>83</v>
      </c>
      <c r="B133" s="20" t="s">
        <v>214</v>
      </c>
      <c r="C133" s="17">
        <f t="shared" si="5"/>
        <v>704019.96</v>
      </c>
      <c r="D133" s="17">
        <v>704019.96</v>
      </c>
      <c r="E133" s="17"/>
      <c r="F133" s="17"/>
      <c r="G133" s="17"/>
      <c r="H133" s="207"/>
      <c r="I133" s="153"/>
      <c r="J133" s="153"/>
      <c r="K133" s="153"/>
      <c r="L133" s="153"/>
      <c r="M133" s="153"/>
      <c r="N133" s="153"/>
      <c r="O133" s="153"/>
      <c r="P133" s="206"/>
    </row>
    <row r="134" spans="1:16" ht="25.5">
      <c r="A134" s="196">
        <v>84</v>
      </c>
      <c r="B134" s="20" t="s">
        <v>215</v>
      </c>
      <c r="C134" s="17">
        <f t="shared" si="5"/>
        <v>359675.06</v>
      </c>
      <c r="D134" s="17">
        <v>359675.06</v>
      </c>
      <c r="E134" s="17"/>
      <c r="F134" s="17"/>
      <c r="G134" s="17"/>
      <c r="H134" s="207"/>
      <c r="I134" s="153"/>
      <c r="J134" s="153"/>
      <c r="K134" s="153"/>
      <c r="L134" s="153"/>
      <c r="M134" s="153"/>
      <c r="N134" s="153"/>
      <c r="O134" s="153"/>
      <c r="P134" s="206"/>
    </row>
    <row r="135" spans="1:16" ht="25.5">
      <c r="A135" s="196">
        <v>85</v>
      </c>
      <c r="B135" s="20" t="s">
        <v>216</v>
      </c>
      <c r="C135" s="17">
        <f t="shared" si="5"/>
        <v>360346.73</v>
      </c>
      <c r="D135" s="17">
        <v>360346.73</v>
      </c>
      <c r="E135" s="17"/>
      <c r="F135" s="17"/>
      <c r="G135" s="17"/>
      <c r="H135" s="207"/>
      <c r="I135" s="153"/>
      <c r="J135" s="153"/>
      <c r="K135" s="153"/>
      <c r="L135" s="153"/>
      <c r="M135" s="153"/>
      <c r="N135" s="153"/>
      <c r="O135" s="153"/>
      <c r="P135" s="206"/>
    </row>
    <row r="136" spans="1:16" ht="25.5">
      <c r="A136" s="196">
        <v>86</v>
      </c>
      <c r="B136" s="20" t="s">
        <v>217</v>
      </c>
      <c r="C136" s="17">
        <f t="shared" si="5"/>
        <v>389052.16</v>
      </c>
      <c r="D136" s="17">
        <v>389052.16</v>
      </c>
      <c r="E136" s="17"/>
      <c r="F136" s="17"/>
      <c r="G136" s="17"/>
      <c r="H136" s="207"/>
      <c r="I136" s="153"/>
      <c r="J136" s="153"/>
      <c r="K136" s="153"/>
      <c r="L136" s="153"/>
      <c r="M136" s="153"/>
      <c r="N136" s="153"/>
      <c r="O136" s="153"/>
      <c r="P136" s="206"/>
    </row>
    <row r="137" spans="1:16" ht="12.75">
      <c r="A137" s="196">
        <v>87</v>
      </c>
      <c r="B137" s="20" t="s">
        <v>218</v>
      </c>
      <c r="C137" s="17">
        <f t="shared" si="5"/>
        <v>1418592.8</v>
      </c>
      <c r="D137" s="17">
        <v>1418592.8</v>
      </c>
      <c r="E137" s="17"/>
      <c r="F137" s="17"/>
      <c r="G137" s="17"/>
      <c r="H137" s="207"/>
      <c r="I137" s="153"/>
      <c r="J137" s="153"/>
      <c r="K137" s="153"/>
      <c r="L137" s="153"/>
      <c r="M137" s="153"/>
      <c r="N137" s="153"/>
      <c r="O137" s="153"/>
      <c r="P137" s="206"/>
    </row>
    <row r="138" spans="1:16" ht="25.5">
      <c r="A138" s="196">
        <v>88</v>
      </c>
      <c r="B138" s="20" t="s">
        <v>220</v>
      </c>
      <c r="C138" s="17">
        <f t="shared" si="5"/>
        <v>608761.12</v>
      </c>
      <c r="D138" s="17">
        <v>608761.12</v>
      </c>
      <c r="E138" s="17"/>
      <c r="F138" s="17"/>
      <c r="G138" s="17"/>
      <c r="H138" s="207"/>
      <c r="I138" s="153"/>
      <c r="J138" s="153"/>
      <c r="K138" s="153"/>
      <c r="L138" s="153"/>
      <c r="M138" s="153"/>
      <c r="N138" s="153"/>
      <c r="O138" s="153"/>
      <c r="P138" s="206"/>
    </row>
    <row r="139" spans="1:16" ht="25.5">
      <c r="A139" s="196">
        <v>89</v>
      </c>
      <c r="B139" s="20" t="s">
        <v>221</v>
      </c>
      <c r="C139" s="17">
        <f t="shared" si="5"/>
        <v>530066.69</v>
      </c>
      <c r="D139" s="17">
        <v>530066.69</v>
      </c>
      <c r="E139" s="17"/>
      <c r="F139" s="17"/>
      <c r="G139" s="17"/>
      <c r="H139" s="207"/>
      <c r="I139" s="153"/>
      <c r="J139" s="153"/>
      <c r="K139" s="153"/>
      <c r="L139" s="153"/>
      <c r="M139" s="153"/>
      <c r="N139" s="153"/>
      <c r="O139" s="153"/>
      <c r="P139" s="206"/>
    </row>
    <row r="140" spans="1:16" ht="12.75">
      <c r="A140" s="196"/>
      <c r="B140" s="202" t="s">
        <v>380</v>
      </c>
      <c r="C140" s="201">
        <f>SUM(C117:C139)</f>
        <v>20394548.676200002</v>
      </c>
      <c r="D140" s="201">
        <f>SUM(D117:D139)</f>
        <v>12767650.618600002</v>
      </c>
      <c r="E140" s="201"/>
      <c r="F140" s="201">
        <f>SUM(F117:F139)</f>
        <v>4617.51</v>
      </c>
      <c r="G140" s="201">
        <f>SUM(G117:G139)</f>
        <v>7626898.057600001</v>
      </c>
      <c r="H140" s="153"/>
      <c r="I140" s="153"/>
      <c r="J140" s="153"/>
      <c r="K140" s="153"/>
      <c r="L140" s="153"/>
      <c r="M140" s="153"/>
      <c r="N140" s="153"/>
      <c r="O140" s="153"/>
      <c r="P140" s="206"/>
    </row>
    <row r="141" spans="1:16" ht="12.75">
      <c r="A141" s="337" t="s">
        <v>766</v>
      </c>
      <c r="B141" s="338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9"/>
    </row>
    <row r="142" spans="1:16" ht="25.5">
      <c r="A142" s="196">
        <v>90</v>
      </c>
      <c r="B142" s="205" t="s">
        <v>1065</v>
      </c>
      <c r="C142" s="17">
        <v>2105666.81</v>
      </c>
      <c r="D142" s="17"/>
      <c r="E142" s="17"/>
      <c r="F142" s="17">
        <v>887</v>
      </c>
      <c r="G142" s="17">
        <v>2105666.81</v>
      </c>
      <c r="H142" s="202"/>
      <c r="I142" s="20"/>
      <c r="J142" s="208"/>
      <c r="K142" s="20"/>
      <c r="L142" s="8"/>
      <c r="M142" s="8"/>
      <c r="N142" s="153"/>
      <c r="O142" s="153"/>
      <c r="P142" s="206"/>
    </row>
    <row r="143" spans="1:16" ht="12.75">
      <c r="A143" s="196"/>
      <c r="B143" s="202" t="s">
        <v>380</v>
      </c>
      <c r="C143" s="201">
        <f>SUM(C142:C142)</f>
        <v>2105666.81</v>
      </c>
      <c r="D143" s="201"/>
      <c r="E143" s="201"/>
      <c r="F143" s="201">
        <f>SUM(F142:F142)</f>
        <v>887</v>
      </c>
      <c r="G143" s="201">
        <f>SUM(G142:G142)</f>
        <v>2105666.81</v>
      </c>
      <c r="H143" s="153"/>
      <c r="I143" s="153"/>
      <c r="J143" s="153"/>
      <c r="K143" s="153"/>
      <c r="L143" s="153"/>
      <c r="M143" s="153"/>
      <c r="N143" s="153"/>
      <c r="O143" s="153"/>
      <c r="P143" s="206"/>
    </row>
    <row r="144" spans="1:16" ht="12.75">
      <c r="A144" s="337" t="s">
        <v>767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9"/>
    </row>
    <row r="145" spans="1:16" ht="40.5" customHeight="1">
      <c r="A145" s="196">
        <v>91</v>
      </c>
      <c r="B145" s="205" t="s">
        <v>1082</v>
      </c>
      <c r="C145" s="17">
        <f>D145+E145+G145</f>
        <v>870888.47</v>
      </c>
      <c r="D145" s="17"/>
      <c r="E145" s="17"/>
      <c r="F145" s="17">
        <v>400</v>
      </c>
      <c r="G145" s="17">
        <v>870888.47</v>
      </c>
      <c r="H145" s="153"/>
      <c r="I145" s="153"/>
      <c r="J145" s="153"/>
      <c r="K145" s="153"/>
      <c r="L145" s="153"/>
      <c r="M145" s="153"/>
      <c r="N145" s="153"/>
      <c r="O145" s="153"/>
      <c r="P145" s="206"/>
    </row>
    <row r="146" spans="1:16" ht="12.75">
      <c r="A146" s="196"/>
      <c r="B146" s="202" t="s">
        <v>380</v>
      </c>
      <c r="C146" s="201">
        <f>SUM(C145)</f>
        <v>870888.47</v>
      </c>
      <c r="D146" s="201"/>
      <c r="E146" s="201"/>
      <c r="F146" s="201">
        <f>SUM(F145)</f>
        <v>400</v>
      </c>
      <c r="G146" s="201">
        <f>SUM(G145)</f>
        <v>870888.47</v>
      </c>
      <c r="H146" s="153"/>
      <c r="I146" s="153"/>
      <c r="J146" s="153"/>
      <c r="K146" s="153"/>
      <c r="L146" s="153"/>
      <c r="M146" s="153"/>
      <c r="N146" s="153"/>
      <c r="O146" s="153"/>
      <c r="P146" s="206"/>
    </row>
    <row r="147" spans="1:16" ht="12.75">
      <c r="A147" s="337" t="s">
        <v>1366</v>
      </c>
      <c r="B147" s="338"/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9"/>
    </row>
    <row r="148" spans="1:16" ht="25.5">
      <c r="A148" s="196">
        <v>92</v>
      </c>
      <c r="B148" s="212" t="s">
        <v>1181</v>
      </c>
      <c r="C148" s="17">
        <f>D148+E148+G148</f>
        <v>2121005.97</v>
      </c>
      <c r="D148" s="213"/>
      <c r="E148" s="213"/>
      <c r="F148" s="213">
        <v>932</v>
      </c>
      <c r="G148" s="17">
        <v>2121005.97</v>
      </c>
      <c r="H148" s="153"/>
      <c r="I148" s="153"/>
      <c r="J148" s="153"/>
      <c r="K148" s="153"/>
      <c r="L148" s="153"/>
      <c r="M148" s="153"/>
      <c r="N148" s="153"/>
      <c r="O148" s="153"/>
      <c r="P148" s="206"/>
    </row>
    <row r="149" spans="1:16" ht="27" customHeight="1">
      <c r="A149" s="196">
        <v>93</v>
      </c>
      <c r="B149" s="215" t="s">
        <v>722</v>
      </c>
      <c r="C149" s="17">
        <f aca="true" t="shared" si="6" ref="C149:C155">D149+E149+G149</f>
        <v>48721.48</v>
      </c>
      <c r="D149" s="17">
        <v>48721.48</v>
      </c>
      <c r="E149" s="213"/>
      <c r="F149" s="213"/>
      <c r="G149" s="213"/>
      <c r="H149" s="153"/>
      <c r="I149" s="153"/>
      <c r="J149" s="153"/>
      <c r="K149" s="153"/>
      <c r="L149" s="153"/>
      <c r="M149" s="153"/>
      <c r="N149" s="153"/>
      <c r="O149" s="153"/>
      <c r="P149" s="206"/>
    </row>
    <row r="150" spans="1:16" ht="27" customHeight="1">
      <c r="A150" s="196">
        <v>94</v>
      </c>
      <c r="B150" s="215" t="s">
        <v>723</v>
      </c>
      <c r="C150" s="17">
        <f t="shared" si="6"/>
        <v>2065896.71</v>
      </c>
      <c r="D150" s="213">
        <v>150691.72999999998</v>
      </c>
      <c r="E150" s="213"/>
      <c r="F150" s="213">
        <v>914</v>
      </c>
      <c r="G150" s="213">
        <v>1915204.98</v>
      </c>
      <c r="H150" s="153"/>
      <c r="I150" s="153"/>
      <c r="J150" s="153"/>
      <c r="K150" s="153"/>
      <c r="L150" s="153"/>
      <c r="M150" s="153"/>
      <c r="N150" s="153"/>
      <c r="O150" s="153"/>
      <c r="P150" s="206"/>
    </row>
    <row r="151" spans="1:16" ht="25.5">
      <c r="A151" s="196">
        <v>95</v>
      </c>
      <c r="B151" s="212" t="s">
        <v>1182</v>
      </c>
      <c r="C151" s="17">
        <f t="shared" si="6"/>
        <v>791840.22</v>
      </c>
      <c r="D151" s="17">
        <v>791840.22</v>
      </c>
      <c r="E151" s="213"/>
      <c r="F151" s="213"/>
      <c r="G151" s="213"/>
      <c r="H151" s="153"/>
      <c r="I151" s="153"/>
      <c r="J151" s="153"/>
      <c r="K151" s="153"/>
      <c r="L151" s="153"/>
      <c r="M151" s="153"/>
      <c r="N151" s="153"/>
      <c r="O151" s="153"/>
      <c r="P151" s="206"/>
    </row>
    <row r="152" spans="1:16" ht="30" customHeight="1">
      <c r="A152" s="196">
        <v>96</v>
      </c>
      <c r="B152" s="215" t="s">
        <v>222</v>
      </c>
      <c r="C152" s="17">
        <f t="shared" si="6"/>
        <v>1751241.21</v>
      </c>
      <c r="D152" s="213"/>
      <c r="E152" s="213"/>
      <c r="F152" s="213">
        <v>860</v>
      </c>
      <c r="G152" s="17">
        <v>1751241.21</v>
      </c>
      <c r="H152" s="153"/>
      <c r="I152" s="153"/>
      <c r="J152" s="153"/>
      <c r="K152" s="153"/>
      <c r="L152" s="153"/>
      <c r="M152" s="153"/>
      <c r="N152" s="153"/>
      <c r="O152" s="153"/>
      <c r="P152" s="206"/>
    </row>
    <row r="153" spans="1:16" ht="12.75">
      <c r="A153" s="196">
        <v>97</v>
      </c>
      <c r="B153" s="212" t="s">
        <v>919</v>
      </c>
      <c r="C153" s="17">
        <f t="shared" si="6"/>
        <v>2315143.89</v>
      </c>
      <c r="D153" s="213">
        <v>408442.57</v>
      </c>
      <c r="E153" s="213"/>
      <c r="F153" s="213">
        <v>863</v>
      </c>
      <c r="G153" s="213">
        <v>1906701.32</v>
      </c>
      <c r="H153" s="153"/>
      <c r="I153" s="153"/>
      <c r="J153" s="153"/>
      <c r="K153" s="153"/>
      <c r="L153" s="153"/>
      <c r="M153" s="153"/>
      <c r="N153" s="153"/>
      <c r="O153" s="153"/>
      <c r="P153" s="206"/>
    </row>
    <row r="154" spans="1:16" ht="25.5">
      <c r="A154" s="196">
        <v>98</v>
      </c>
      <c r="B154" s="212" t="s">
        <v>224</v>
      </c>
      <c r="C154" s="17">
        <f t="shared" si="6"/>
        <v>1122161.93</v>
      </c>
      <c r="D154" s="213"/>
      <c r="E154" s="213"/>
      <c r="F154" s="213">
        <v>482</v>
      </c>
      <c r="G154" s="17">
        <v>1122161.93</v>
      </c>
      <c r="H154" s="153"/>
      <c r="I154" s="153"/>
      <c r="J154" s="153"/>
      <c r="K154" s="153"/>
      <c r="L154" s="153"/>
      <c r="M154" s="153"/>
      <c r="N154" s="153"/>
      <c r="O154" s="153"/>
      <c r="P154" s="206"/>
    </row>
    <row r="155" spans="1:16" ht="25.5">
      <c r="A155" s="196">
        <v>99</v>
      </c>
      <c r="B155" s="212" t="s">
        <v>724</v>
      </c>
      <c r="C155" s="17">
        <f t="shared" si="6"/>
        <v>423182.61</v>
      </c>
      <c r="D155" s="17">
        <v>423182.61</v>
      </c>
      <c r="E155" s="213"/>
      <c r="F155" s="213"/>
      <c r="G155" s="213"/>
      <c r="H155" s="153"/>
      <c r="I155" s="153"/>
      <c r="J155" s="153"/>
      <c r="K155" s="153"/>
      <c r="L155" s="153"/>
      <c r="M155" s="153"/>
      <c r="N155" s="153"/>
      <c r="O155" s="153"/>
      <c r="P155" s="206"/>
    </row>
    <row r="156" spans="1:16" ht="12.75">
      <c r="A156" s="198"/>
      <c r="B156" s="202" t="s">
        <v>380</v>
      </c>
      <c r="C156" s="201">
        <f>SUM(C148:C155)</f>
        <v>10639194.02</v>
      </c>
      <c r="D156" s="201">
        <f>SUM(D148:D155)</f>
        <v>1822878.6099999999</v>
      </c>
      <c r="E156" s="201"/>
      <c r="F156" s="201">
        <f>SUM(F148:F155)</f>
        <v>4051</v>
      </c>
      <c r="G156" s="201">
        <f>SUM(G148:G155)</f>
        <v>8816315.41</v>
      </c>
      <c r="H156" s="153"/>
      <c r="I156" s="153"/>
      <c r="J156" s="153"/>
      <c r="K156" s="153"/>
      <c r="L156" s="153"/>
      <c r="M156" s="153"/>
      <c r="N156" s="153"/>
      <c r="O156" s="153"/>
      <c r="P156" s="206"/>
    </row>
    <row r="157" spans="1:16" ht="12.75">
      <c r="A157" s="337" t="s">
        <v>495</v>
      </c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9"/>
    </row>
    <row r="158" spans="1:16" ht="25.5">
      <c r="A158" s="196">
        <v>100</v>
      </c>
      <c r="B158" s="20" t="s">
        <v>1301</v>
      </c>
      <c r="C158" s="17">
        <f>D158+E158+G158</f>
        <v>1126696.47</v>
      </c>
      <c r="D158" s="17"/>
      <c r="E158" s="17"/>
      <c r="F158" s="153">
        <v>616</v>
      </c>
      <c r="G158" s="17">
        <v>1126696.47</v>
      </c>
      <c r="H158" s="15"/>
      <c r="I158" s="17"/>
      <c r="J158" s="17"/>
      <c r="K158" s="17"/>
      <c r="L158" s="17"/>
      <c r="M158" s="17"/>
      <c r="N158" s="153"/>
      <c r="O158" s="153"/>
      <c r="P158" s="206"/>
    </row>
    <row r="159" spans="1:16" ht="25.5">
      <c r="A159" s="196">
        <v>101</v>
      </c>
      <c r="B159" s="20" t="s">
        <v>779</v>
      </c>
      <c r="C159" s="17">
        <f>D159+E159+G159</f>
        <v>364263.46</v>
      </c>
      <c r="D159" s="17">
        <v>364263.46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53"/>
      <c r="O159" s="153"/>
      <c r="P159" s="206"/>
    </row>
    <row r="160" spans="1:16" ht="12.75">
      <c r="A160" s="198"/>
      <c r="B160" s="202" t="s">
        <v>380</v>
      </c>
      <c r="C160" s="201">
        <f>D160+E160+G160</f>
        <v>1490959.93</v>
      </c>
      <c r="D160" s="201">
        <f>SUM(D158:D159)</f>
        <v>364263.46</v>
      </c>
      <c r="E160" s="201"/>
      <c r="F160" s="201">
        <f>SUM(F158:F159)</f>
        <v>616</v>
      </c>
      <c r="G160" s="201">
        <f>SUM(G158:G159)</f>
        <v>1126696.47</v>
      </c>
      <c r="H160" s="201"/>
      <c r="I160" s="201"/>
      <c r="J160" s="201"/>
      <c r="K160" s="201"/>
      <c r="L160" s="201"/>
      <c r="M160" s="201"/>
      <c r="N160" s="207"/>
      <c r="O160" s="153"/>
      <c r="P160" s="206"/>
    </row>
    <row r="161" spans="1:16" ht="12.75">
      <c r="A161" s="337" t="s">
        <v>1364</v>
      </c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9"/>
    </row>
    <row r="162" spans="1:16" ht="25.5">
      <c r="A162" s="214">
        <v>102</v>
      </c>
      <c r="B162" s="215" t="s">
        <v>1672</v>
      </c>
      <c r="C162" s="17">
        <f>D162+E162+G162</f>
        <v>338995.2</v>
      </c>
      <c r="D162" s="17">
        <v>338995.2</v>
      </c>
      <c r="E162" s="153"/>
      <c r="F162" s="153"/>
      <c r="G162" s="17"/>
      <c r="H162" s="153"/>
      <c r="I162" s="153"/>
      <c r="J162" s="153"/>
      <c r="K162" s="153"/>
      <c r="L162" s="153"/>
      <c r="M162" s="153"/>
      <c r="N162" s="153"/>
      <c r="O162" s="153"/>
      <c r="P162" s="206"/>
    </row>
    <row r="163" spans="1:16" ht="25.5">
      <c r="A163" s="214">
        <v>103</v>
      </c>
      <c r="B163" s="215" t="s">
        <v>226</v>
      </c>
      <c r="C163" s="17">
        <f>D163+E163+G163</f>
        <v>856486.46</v>
      </c>
      <c r="D163" s="17">
        <v>856486.46</v>
      </c>
      <c r="E163" s="153"/>
      <c r="F163" s="153"/>
      <c r="G163" s="17"/>
      <c r="H163" s="153"/>
      <c r="I163" s="153"/>
      <c r="J163" s="153"/>
      <c r="K163" s="153"/>
      <c r="L163" s="153"/>
      <c r="M163" s="153"/>
      <c r="N163" s="153"/>
      <c r="O163" s="153"/>
      <c r="P163" s="206"/>
    </row>
    <row r="164" spans="1:16" ht="12.75">
      <c r="A164" s="214">
        <v>104</v>
      </c>
      <c r="B164" s="215" t="s">
        <v>227</v>
      </c>
      <c r="C164" s="17">
        <f>D164+E164+G164</f>
        <v>941727.39</v>
      </c>
      <c r="D164" s="17">
        <v>941727.39</v>
      </c>
      <c r="E164" s="153"/>
      <c r="F164" s="153"/>
      <c r="G164" s="17"/>
      <c r="H164" s="153"/>
      <c r="I164" s="153"/>
      <c r="J164" s="153"/>
      <c r="K164" s="153"/>
      <c r="L164" s="153"/>
      <c r="M164" s="153"/>
      <c r="N164" s="153"/>
      <c r="O164" s="153"/>
      <c r="P164" s="206"/>
    </row>
    <row r="165" spans="1:16" ht="25.5">
      <c r="A165" s="214">
        <v>105</v>
      </c>
      <c r="B165" s="215" t="s">
        <v>1183</v>
      </c>
      <c r="C165" s="17">
        <f>D165+E165+G165</f>
        <v>436526.2</v>
      </c>
      <c r="D165" s="17">
        <v>436526.2</v>
      </c>
      <c r="E165" s="153"/>
      <c r="F165" s="153"/>
      <c r="G165" s="17"/>
      <c r="H165" s="153"/>
      <c r="I165" s="153"/>
      <c r="J165" s="153"/>
      <c r="K165" s="153"/>
      <c r="L165" s="153"/>
      <c r="M165" s="153"/>
      <c r="N165" s="153"/>
      <c r="O165" s="153"/>
      <c r="P165" s="206"/>
    </row>
    <row r="166" spans="1:16" ht="12.75">
      <c r="A166" s="198"/>
      <c r="B166" s="202" t="s">
        <v>380</v>
      </c>
      <c r="C166" s="201">
        <f>SUM(C162:C165)</f>
        <v>2573735.25</v>
      </c>
      <c r="D166" s="201">
        <f>SUM(D162:D165)</f>
        <v>2573735.25</v>
      </c>
      <c r="E166" s="201"/>
      <c r="F166" s="201"/>
      <c r="G166" s="201"/>
      <c r="H166" s="153"/>
      <c r="I166" s="153"/>
      <c r="J166" s="153"/>
      <c r="K166" s="153"/>
      <c r="L166" s="153"/>
      <c r="M166" s="153"/>
      <c r="N166" s="153"/>
      <c r="O166" s="153"/>
      <c r="P166" s="206"/>
    </row>
    <row r="167" spans="1:16" ht="12.75">
      <c r="A167" s="337" t="s">
        <v>1369</v>
      </c>
      <c r="B167" s="338"/>
      <c r="C167" s="338"/>
      <c r="D167" s="338"/>
      <c r="E167" s="338"/>
      <c r="F167" s="338"/>
      <c r="G167" s="338"/>
      <c r="H167" s="338"/>
      <c r="I167" s="338"/>
      <c r="J167" s="338"/>
      <c r="K167" s="338"/>
      <c r="L167" s="338"/>
      <c r="M167" s="338"/>
      <c r="N167" s="338"/>
      <c r="O167" s="338"/>
      <c r="P167" s="339"/>
    </row>
    <row r="168" spans="1:16" ht="25.5">
      <c r="A168" s="214">
        <v>106</v>
      </c>
      <c r="B168" s="215" t="s">
        <v>1184</v>
      </c>
      <c r="C168" s="17">
        <f>D168+E168+G168</f>
        <v>3836371.95</v>
      </c>
      <c r="D168" s="17">
        <v>3836371.95</v>
      </c>
      <c r="E168" s="17"/>
      <c r="F168" s="17"/>
      <c r="G168" s="17"/>
      <c r="H168" s="153"/>
      <c r="I168" s="153"/>
      <c r="J168" s="153"/>
      <c r="K168" s="153"/>
      <c r="L168" s="153"/>
      <c r="M168" s="153"/>
      <c r="N168" s="153"/>
      <c r="O168" s="153"/>
      <c r="P168" s="206"/>
    </row>
    <row r="169" spans="1:16" ht="25.5">
      <c r="A169" s="214">
        <v>107</v>
      </c>
      <c r="B169" s="215" t="s">
        <v>1185</v>
      </c>
      <c r="C169" s="17">
        <f aca="true" t="shared" si="7" ref="C169:C178">D169+E169+G169</f>
        <v>5835690.48</v>
      </c>
      <c r="D169" s="216">
        <v>3502739.8700000006</v>
      </c>
      <c r="E169" s="17"/>
      <c r="F169" s="17">
        <v>984</v>
      </c>
      <c r="G169" s="17">
        <v>2332950.61</v>
      </c>
      <c r="H169" s="153"/>
      <c r="I169" s="153"/>
      <c r="J169" s="153"/>
      <c r="K169" s="153"/>
      <c r="L169" s="153"/>
      <c r="M169" s="153"/>
      <c r="N169" s="153"/>
      <c r="O169" s="153"/>
      <c r="P169" s="206"/>
    </row>
    <row r="170" spans="1:16" ht="25.5">
      <c r="A170" s="214">
        <v>108</v>
      </c>
      <c r="B170" s="215" t="s">
        <v>589</v>
      </c>
      <c r="C170" s="17">
        <f t="shared" si="7"/>
        <v>1352867.01</v>
      </c>
      <c r="D170" s="216"/>
      <c r="E170" s="17"/>
      <c r="F170" s="17">
        <v>972</v>
      </c>
      <c r="G170" s="17">
        <v>1352867.01</v>
      </c>
      <c r="H170" s="153"/>
      <c r="I170" s="153"/>
      <c r="J170" s="153"/>
      <c r="K170" s="153"/>
      <c r="L170" s="153"/>
      <c r="M170" s="153"/>
      <c r="N170" s="153"/>
      <c r="O170" s="153"/>
      <c r="P170" s="206"/>
    </row>
    <row r="171" spans="1:16" ht="25.5">
      <c r="A171" s="214">
        <v>109</v>
      </c>
      <c r="B171" s="215" t="s">
        <v>1186</v>
      </c>
      <c r="C171" s="17">
        <f t="shared" si="7"/>
        <v>4009221.62</v>
      </c>
      <c r="D171" s="17">
        <v>4009221.62</v>
      </c>
      <c r="E171" s="17"/>
      <c r="F171" s="17"/>
      <c r="G171" s="17"/>
      <c r="H171" s="153"/>
      <c r="I171" s="153"/>
      <c r="J171" s="153"/>
      <c r="K171" s="153"/>
      <c r="L171" s="153"/>
      <c r="M171" s="153"/>
      <c r="N171" s="153"/>
      <c r="O171" s="153"/>
      <c r="P171" s="206"/>
    </row>
    <row r="172" spans="1:16" ht="25.5">
      <c r="A172" s="214">
        <v>110</v>
      </c>
      <c r="B172" s="215" t="s">
        <v>1187</v>
      </c>
      <c r="C172" s="17">
        <f t="shared" si="7"/>
        <v>1028511.47</v>
      </c>
      <c r="D172" s="17">
        <v>1028511.47</v>
      </c>
      <c r="E172" s="17"/>
      <c r="F172" s="17"/>
      <c r="G172" s="17"/>
      <c r="H172" s="153"/>
      <c r="I172" s="153"/>
      <c r="J172" s="153"/>
      <c r="K172" s="153"/>
      <c r="L172" s="153"/>
      <c r="M172" s="153"/>
      <c r="N172" s="153"/>
      <c r="O172" s="153"/>
      <c r="P172" s="206"/>
    </row>
    <row r="173" spans="1:16" ht="25.5">
      <c r="A173" s="214">
        <v>111</v>
      </c>
      <c r="B173" s="215" t="s">
        <v>1188</v>
      </c>
      <c r="C173" s="17">
        <f t="shared" si="7"/>
        <v>2845779.15</v>
      </c>
      <c r="D173" s="216"/>
      <c r="E173" s="17"/>
      <c r="F173" s="17">
        <v>1154</v>
      </c>
      <c r="G173" s="17">
        <v>2845779.15</v>
      </c>
      <c r="H173" s="153"/>
      <c r="I173" s="153"/>
      <c r="J173" s="153"/>
      <c r="K173" s="153"/>
      <c r="L173" s="153"/>
      <c r="M173" s="153"/>
      <c r="N173" s="153"/>
      <c r="O173" s="153"/>
      <c r="P173" s="206"/>
    </row>
    <row r="174" spans="1:16" ht="25.5">
      <c r="A174" s="214">
        <v>112</v>
      </c>
      <c r="B174" s="215" t="s">
        <v>1083</v>
      </c>
      <c r="C174" s="17">
        <f t="shared" si="7"/>
        <v>2235628.8</v>
      </c>
      <c r="D174" s="216"/>
      <c r="E174" s="17"/>
      <c r="F174" s="17">
        <v>1023</v>
      </c>
      <c r="G174" s="17">
        <v>2235628.8</v>
      </c>
      <c r="H174" s="153"/>
      <c r="I174" s="153"/>
      <c r="J174" s="153"/>
      <c r="K174" s="153"/>
      <c r="L174" s="153"/>
      <c r="M174" s="153"/>
      <c r="N174" s="153"/>
      <c r="O174" s="153"/>
      <c r="P174" s="206"/>
    </row>
    <row r="175" spans="1:16" ht="25.5">
      <c r="A175" s="214">
        <v>113</v>
      </c>
      <c r="B175" s="215" t="s">
        <v>1189</v>
      </c>
      <c r="C175" s="17">
        <f t="shared" si="7"/>
        <v>1036036.04</v>
      </c>
      <c r="D175" s="17">
        <v>1036036.04</v>
      </c>
      <c r="E175" s="17"/>
      <c r="F175" s="17"/>
      <c r="G175" s="17"/>
      <c r="H175" s="153"/>
      <c r="I175" s="153"/>
      <c r="J175" s="153"/>
      <c r="K175" s="153"/>
      <c r="L175" s="153"/>
      <c r="M175" s="153"/>
      <c r="N175" s="153"/>
      <c r="O175" s="153"/>
      <c r="P175" s="206"/>
    </row>
    <row r="176" spans="1:16" ht="25.5">
      <c r="A176" s="214">
        <v>114</v>
      </c>
      <c r="B176" s="215" t="s">
        <v>967</v>
      </c>
      <c r="C176" s="17">
        <f t="shared" si="7"/>
        <v>524771.91</v>
      </c>
      <c r="D176" s="216"/>
      <c r="E176" s="17"/>
      <c r="F176" s="17">
        <v>350</v>
      </c>
      <c r="G176" s="17">
        <v>524771.91</v>
      </c>
      <c r="H176" s="153"/>
      <c r="I176" s="153"/>
      <c r="J176" s="153"/>
      <c r="K176" s="153"/>
      <c r="L176" s="153"/>
      <c r="M176" s="153"/>
      <c r="N176" s="153"/>
      <c r="O176" s="153"/>
      <c r="P176" s="206"/>
    </row>
    <row r="177" spans="1:16" ht="25.5">
      <c r="A177" s="214">
        <v>115</v>
      </c>
      <c r="B177" s="215" t="s">
        <v>1190</v>
      </c>
      <c r="C177" s="17">
        <f t="shared" si="7"/>
        <v>1141644.51</v>
      </c>
      <c r="D177" s="17">
        <v>1141644.51</v>
      </c>
      <c r="E177" s="17"/>
      <c r="F177" s="17"/>
      <c r="G177" s="17"/>
      <c r="H177" s="153"/>
      <c r="I177" s="153"/>
      <c r="J177" s="153"/>
      <c r="K177" s="153"/>
      <c r="L177" s="153"/>
      <c r="M177" s="153"/>
      <c r="N177" s="153"/>
      <c r="O177" s="153"/>
      <c r="P177" s="206"/>
    </row>
    <row r="178" spans="1:16" ht="25.5">
      <c r="A178" s="214">
        <v>116</v>
      </c>
      <c r="B178" s="215" t="s">
        <v>389</v>
      </c>
      <c r="C178" s="17">
        <f t="shared" si="7"/>
        <v>690700</v>
      </c>
      <c r="D178" s="17">
        <v>690700</v>
      </c>
      <c r="E178" s="17"/>
      <c r="F178" s="17"/>
      <c r="G178" s="17"/>
      <c r="H178" s="153"/>
      <c r="I178" s="153"/>
      <c r="J178" s="153"/>
      <c r="K178" s="153"/>
      <c r="L178" s="153"/>
      <c r="M178" s="153"/>
      <c r="N178" s="153"/>
      <c r="O178" s="153"/>
      <c r="P178" s="206"/>
    </row>
    <row r="179" spans="1:16" ht="12.75">
      <c r="A179" s="217"/>
      <c r="B179" s="202" t="s">
        <v>1437</v>
      </c>
      <c r="C179" s="218">
        <f>SUM(C168:C178)</f>
        <v>24537222.94</v>
      </c>
      <c r="D179" s="218">
        <f>SUM(D168:D178)</f>
        <v>15245225.460000003</v>
      </c>
      <c r="E179" s="218"/>
      <c r="F179" s="218">
        <f>SUM(F168:F178)</f>
        <v>4483</v>
      </c>
      <c r="G179" s="218">
        <f>SUM(G168:G178)</f>
        <v>9291997.48</v>
      </c>
      <c r="H179" s="218"/>
      <c r="I179" s="218"/>
      <c r="J179" s="218"/>
      <c r="K179" s="218"/>
      <c r="L179" s="218"/>
      <c r="M179" s="218"/>
      <c r="N179" s="153"/>
      <c r="O179" s="153"/>
      <c r="P179" s="206"/>
    </row>
    <row r="180" spans="1:16" ht="12.75">
      <c r="A180" s="337" t="s">
        <v>1370</v>
      </c>
      <c r="B180" s="338"/>
      <c r="C180" s="338"/>
      <c r="D180" s="338"/>
      <c r="E180" s="338"/>
      <c r="F180" s="338"/>
      <c r="G180" s="338"/>
      <c r="H180" s="338"/>
      <c r="I180" s="338"/>
      <c r="J180" s="338"/>
      <c r="K180" s="338"/>
      <c r="L180" s="338"/>
      <c r="M180" s="338"/>
      <c r="N180" s="338"/>
      <c r="O180" s="338"/>
      <c r="P180" s="339"/>
    </row>
    <row r="181" spans="1:16" ht="25.5">
      <c r="A181" s="219" t="s">
        <v>1257</v>
      </c>
      <c r="B181" s="215" t="s">
        <v>1191</v>
      </c>
      <c r="C181" s="17">
        <f>D181+E181+G181</f>
        <v>3213926.5300000003</v>
      </c>
      <c r="D181" s="216"/>
      <c r="E181" s="216"/>
      <c r="F181" s="216">
        <v>1324</v>
      </c>
      <c r="G181" s="17">
        <v>3213926.5300000003</v>
      </c>
      <c r="H181" s="216"/>
      <c r="I181" s="216"/>
      <c r="J181" s="216"/>
      <c r="K181" s="216"/>
      <c r="L181" s="17"/>
      <c r="M181" s="17"/>
      <c r="N181" s="153"/>
      <c r="O181" s="153"/>
      <c r="P181" s="206"/>
    </row>
    <row r="182" spans="1:16" ht="25.5">
      <c r="A182" s="219" t="s">
        <v>1258</v>
      </c>
      <c r="B182" s="215" t="s">
        <v>1192</v>
      </c>
      <c r="C182" s="17">
        <f aca="true" t="shared" si="8" ref="C182:C210">D182+E182+G182</f>
        <v>607356</v>
      </c>
      <c r="D182" s="216"/>
      <c r="E182" s="216"/>
      <c r="F182" s="216">
        <v>253</v>
      </c>
      <c r="G182" s="17">
        <v>607356</v>
      </c>
      <c r="H182" s="216"/>
      <c r="I182" s="216"/>
      <c r="J182" s="216"/>
      <c r="K182" s="216"/>
      <c r="L182" s="17"/>
      <c r="M182" s="17"/>
      <c r="N182" s="153"/>
      <c r="O182" s="153"/>
      <c r="P182" s="206"/>
    </row>
    <row r="183" spans="1:16" ht="25.5">
      <c r="A183" s="219" t="s">
        <v>1259</v>
      </c>
      <c r="B183" s="215" t="s">
        <v>1193</v>
      </c>
      <c r="C183" s="17">
        <f t="shared" si="8"/>
        <v>605461.38</v>
      </c>
      <c r="D183" s="216"/>
      <c r="E183" s="216"/>
      <c r="F183" s="216">
        <v>246</v>
      </c>
      <c r="G183" s="17">
        <v>605461.38</v>
      </c>
      <c r="H183" s="216"/>
      <c r="I183" s="216"/>
      <c r="J183" s="216"/>
      <c r="K183" s="216"/>
      <c r="L183" s="17"/>
      <c r="M183" s="17"/>
      <c r="N183" s="153"/>
      <c r="O183" s="153"/>
      <c r="P183" s="206"/>
    </row>
    <row r="184" spans="1:16" ht="25.5">
      <c r="A184" s="219" t="s">
        <v>1260</v>
      </c>
      <c r="B184" s="215" t="s">
        <v>1194</v>
      </c>
      <c r="C184" s="17">
        <f t="shared" si="8"/>
        <v>608029.04</v>
      </c>
      <c r="D184" s="216"/>
      <c r="E184" s="216"/>
      <c r="F184" s="216">
        <v>246</v>
      </c>
      <c r="G184" s="17">
        <v>608029.04</v>
      </c>
      <c r="H184" s="216"/>
      <c r="I184" s="216"/>
      <c r="J184" s="216"/>
      <c r="K184" s="216"/>
      <c r="L184" s="17"/>
      <c r="M184" s="17"/>
      <c r="N184" s="153"/>
      <c r="O184" s="153"/>
      <c r="P184" s="206"/>
    </row>
    <row r="185" spans="1:16" ht="25.5">
      <c r="A185" s="219" t="s">
        <v>1261</v>
      </c>
      <c r="B185" s="215" t="s">
        <v>1195</v>
      </c>
      <c r="C185" s="17">
        <f t="shared" si="8"/>
        <v>629364.53</v>
      </c>
      <c r="D185" s="216"/>
      <c r="E185" s="216"/>
      <c r="F185" s="216">
        <v>253</v>
      </c>
      <c r="G185" s="17">
        <v>629364.53</v>
      </c>
      <c r="H185" s="216"/>
      <c r="I185" s="216"/>
      <c r="J185" s="216"/>
      <c r="K185" s="216"/>
      <c r="L185" s="17"/>
      <c r="M185" s="17"/>
      <c r="N185" s="153"/>
      <c r="O185" s="153"/>
      <c r="P185" s="206"/>
    </row>
    <row r="186" spans="1:16" ht="25.5">
      <c r="A186" s="219" t="s">
        <v>1262</v>
      </c>
      <c r="B186" s="215" t="s">
        <v>1196</v>
      </c>
      <c r="C186" s="17">
        <f t="shared" si="8"/>
        <v>3084976.53</v>
      </c>
      <c r="D186" s="216"/>
      <c r="E186" s="216"/>
      <c r="F186" s="216">
        <v>1320</v>
      </c>
      <c r="G186" s="17">
        <v>3084976.53</v>
      </c>
      <c r="H186" s="216"/>
      <c r="I186" s="216"/>
      <c r="J186" s="216"/>
      <c r="K186" s="216"/>
      <c r="L186" s="17"/>
      <c r="M186" s="17"/>
      <c r="N186" s="153"/>
      <c r="O186" s="153"/>
      <c r="P186" s="206"/>
    </row>
    <row r="187" spans="1:16" ht="25.5">
      <c r="A187" s="219" t="s">
        <v>927</v>
      </c>
      <c r="B187" s="215" t="s">
        <v>1066</v>
      </c>
      <c r="C187" s="17">
        <f t="shared" si="8"/>
        <v>1271835.37</v>
      </c>
      <c r="D187" s="216"/>
      <c r="E187" s="216"/>
      <c r="F187" s="216">
        <v>530</v>
      </c>
      <c r="G187" s="17">
        <v>1271835.37</v>
      </c>
      <c r="H187" s="216"/>
      <c r="I187" s="216"/>
      <c r="J187" s="216"/>
      <c r="K187" s="216"/>
      <c r="L187" s="17"/>
      <c r="M187" s="17"/>
      <c r="N187" s="153"/>
      <c r="O187" s="153"/>
      <c r="P187" s="206"/>
    </row>
    <row r="188" spans="1:16" ht="25.5">
      <c r="A188" s="219" t="s">
        <v>928</v>
      </c>
      <c r="B188" s="215" t="s">
        <v>1198</v>
      </c>
      <c r="C188" s="17">
        <f t="shared" si="8"/>
        <v>609733.81</v>
      </c>
      <c r="D188" s="216"/>
      <c r="E188" s="216"/>
      <c r="F188" s="216">
        <v>253</v>
      </c>
      <c r="G188" s="17">
        <v>609733.81</v>
      </c>
      <c r="H188" s="216"/>
      <c r="I188" s="216"/>
      <c r="J188" s="216"/>
      <c r="K188" s="216"/>
      <c r="L188" s="17"/>
      <c r="M188" s="17"/>
      <c r="N188" s="153"/>
      <c r="O188" s="153"/>
      <c r="P188" s="206"/>
    </row>
    <row r="189" spans="1:16" ht="25.5">
      <c r="A189" s="219" t="s">
        <v>929</v>
      </c>
      <c r="B189" s="215" t="s">
        <v>1199</v>
      </c>
      <c r="C189" s="17">
        <f t="shared" si="8"/>
        <v>1278567.78</v>
      </c>
      <c r="D189" s="216"/>
      <c r="E189" s="216"/>
      <c r="F189" s="216">
        <v>516</v>
      </c>
      <c r="G189" s="17">
        <v>1278567.78</v>
      </c>
      <c r="H189" s="216"/>
      <c r="I189" s="216"/>
      <c r="J189" s="216"/>
      <c r="K189" s="216"/>
      <c r="L189" s="17"/>
      <c r="M189" s="17"/>
      <c r="N189" s="153"/>
      <c r="O189" s="153"/>
      <c r="P189" s="206"/>
    </row>
    <row r="190" spans="1:16" ht="25.5">
      <c r="A190" s="219" t="s">
        <v>930</v>
      </c>
      <c r="B190" s="215" t="s">
        <v>1200</v>
      </c>
      <c r="C190" s="17">
        <f t="shared" si="8"/>
        <v>611041.06</v>
      </c>
      <c r="D190" s="216"/>
      <c r="E190" s="216"/>
      <c r="F190" s="216">
        <v>248</v>
      </c>
      <c r="G190" s="17">
        <v>611041.06</v>
      </c>
      <c r="H190" s="216"/>
      <c r="I190" s="216"/>
      <c r="J190" s="216"/>
      <c r="K190" s="216"/>
      <c r="L190" s="17"/>
      <c r="M190" s="17"/>
      <c r="N190" s="153"/>
      <c r="O190" s="153"/>
      <c r="P190" s="206"/>
    </row>
    <row r="191" spans="1:16" ht="25.5">
      <c r="A191" s="219" t="s">
        <v>931</v>
      </c>
      <c r="B191" s="215" t="s">
        <v>1201</v>
      </c>
      <c r="C191" s="17">
        <f t="shared" si="8"/>
        <v>611021.15</v>
      </c>
      <c r="D191" s="216"/>
      <c r="E191" s="216"/>
      <c r="F191" s="216">
        <v>248</v>
      </c>
      <c r="G191" s="17">
        <v>611021.15</v>
      </c>
      <c r="H191" s="216"/>
      <c r="I191" s="216"/>
      <c r="J191" s="216"/>
      <c r="K191" s="216"/>
      <c r="L191" s="17"/>
      <c r="M191" s="17"/>
      <c r="N191" s="153"/>
      <c r="O191" s="153"/>
      <c r="P191" s="206"/>
    </row>
    <row r="192" spans="1:16" ht="25.5">
      <c r="A192" s="219" t="s">
        <v>932</v>
      </c>
      <c r="B192" s="215" t="s">
        <v>1202</v>
      </c>
      <c r="C192" s="17">
        <f t="shared" si="8"/>
        <v>604921.41</v>
      </c>
      <c r="D192" s="216"/>
      <c r="E192" s="216"/>
      <c r="F192" s="216">
        <v>248</v>
      </c>
      <c r="G192" s="17">
        <v>604921.41</v>
      </c>
      <c r="H192" s="216"/>
      <c r="I192" s="216"/>
      <c r="J192" s="216"/>
      <c r="K192" s="216"/>
      <c r="L192" s="17"/>
      <c r="M192" s="17"/>
      <c r="N192" s="153"/>
      <c r="O192" s="153"/>
      <c r="P192" s="206"/>
    </row>
    <row r="193" spans="1:16" ht="25.5">
      <c r="A193" s="219" t="s">
        <v>933</v>
      </c>
      <c r="B193" s="215" t="s">
        <v>1203</v>
      </c>
      <c r="C193" s="17">
        <f t="shared" si="8"/>
        <v>635730.12</v>
      </c>
      <c r="D193" s="216"/>
      <c r="E193" s="216"/>
      <c r="F193" s="216">
        <v>254</v>
      </c>
      <c r="G193" s="17">
        <v>635730.12</v>
      </c>
      <c r="H193" s="216"/>
      <c r="I193" s="216"/>
      <c r="J193" s="216"/>
      <c r="K193" s="216"/>
      <c r="L193" s="17"/>
      <c r="M193" s="17"/>
      <c r="N193" s="153"/>
      <c r="O193" s="153"/>
      <c r="P193" s="206"/>
    </row>
    <row r="194" spans="1:16" ht="25.5">
      <c r="A194" s="219" t="s">
        <v>934</v>
      </c>
      <c r="B194" s="215" t="s">
        <v>1204</v>
      </c>
      <c r="C194" s="17">
        <f t="shared" si="8"/>
        <v>611041.06</v>
      </c>
      <c r="D194" s="216"/>
      <c r="E194" s="216"/>
      <c r="F194" s="216">
        <v>244</v>
      </c>
      <c r="G194" s="17">
        <v>611041.06</v>
      </c>
      <c r="H194" s="216"/>
      <c r="I194" s="216"/>
      <c r="J194" s="216"/>
      <c r="K194" s="216"/>
      <c r="L194" s="17"/>
      <c r="M194" s="17"/>
      <c r="N194" s="153"/>
      <c r="O194" s="153"/>
      <c r="P194" s="206"/>
    </row>
    <row r="195" spans="1:16" ht="12.75">
      <c r="A195" s="219" t="s">
        <v>935</v>
      </c>
      <c r="B195" s="220" t="s">
        <v>67</v>
      </c>
      <c r="C195" s="17">
        <f t="shared" si="8"/>
        <v>3073386.12</v>
      </c>
      <c r="D195" s="216"/>
      <c r="E195" s="216"/>
      <c r="F195" s="216">
        <v>1313</v>
      </c>
      <c r="G195" s="17">
        <v>3073386.12</v>
      </c>
      <c r="H195" s="216"/>
      <c r="I195" s="216"/>
      <c r="J195" s="216"/>
      <c r="K195" s="216"/>
      <c r="L195" s="17"/>
      <c r="M195" s="17"/>
      <c r="N195" s="153"/>
      <c r="O195" s="153"/>
      <c r="P195" s="206"/>
    </row>
    <row r="196" spans="1:16" ht="25.5">
      <c r="A196" s="219" t="s">
        <v>936</v>
      </c>
      <c r="B196" s="215" t="s">
        <v>1205</v>
      </c>
      <c r="C196" s="17">
        <f t="shared" si="8"/>
        <v>2650339.18</v>
      </c>
      <c r="D196" s="216"/>
      <c r="E196" s="216"/>
      <c r="F196" s="216">
        <v>1094</v>
      </c>
      <c r="G196" s="17">
        <v>2650339.18</v>
      </c>
      <c r="H196" s="216"/>
      <c r="I196" s="216"/>
      <c r="J196" s="216"/>
      <c r="K196" s="216"/>
      <c r="L196" s="17"/>
      <c r="M196" s="17"/>
      <c r="N196" s="153"/>
      <c r="O196" s="153"/>
      <c r="P196" s="206"/>
    </row>
    <row r="197" spans="1:16" ht="25.5">
      <c r="A197" s="219" t="s">
        <v>937</v>
      </c>
      <c r="B197" s="215" t="s">
        <v>1206</v>
      </c>
      <c r="C197" s="17">
        <f t="shared" si="8"/>
        <v>793456.24</v>
      </c>
      <c r="D197" s="216"/>
      <c r="E197" s="216"/>
      <c r="F197" s="216">
        <v>384</v>
      </c>
      <c r="G197" s="17">
        <v>793456.24</v>
      </c>
      <c r="H197" s="216"/>
      <c r="I197" s="216"/>
      <c r="J197" s="216"/>
      <c r="K197" s="216"/>
      <c r="L197" s="17"/>
      <c r="M197" s="17"/>
      <c r="N197" s="153"/>
      <c r="O197" s="153"/>
      <c r="P197" s="206"/>
    </row>
    <row r="198" spans="1:16" ht="12.75">
      <c r="A198" s="219" t="s">
        <v>938</v>
      </c>
      <c r="B198" s="220" t="s">
        <v>461</v>
      </c>
      <c r="C198" s="17">
        <f t="shared" si="8"/>
        <v>2846922.38</v>
      </c>
      <c r="D198" s="216"/>
      <c r="E198" s="216"/>
      <c r="F198" s="216">
        <v>1295</v>
      </c>
      <c r="G198" s="17">
        <v>2846922.38</v>
      </c>
      <c r="H198" s="216"/>
      <c r="I198" s="216"/>
      <c r="J198" s="216"/>
      <c r="K198" s="216"/>
      <c r="L198" s="17"/>
      <c r="M198" s="17"/>
      <c r="N198" s="153"/>
      <c r="O198" s="153"/>
      <c r="P198" s="206"/>
    </row>
    <row r="199" spans="1:16" ht="12.75">
      <c r="A199" s="219" t="s">
        <v>939</v>
      </c>
      <c r="B199" s="220" t="s">
        <v>1524</v>
      </c>
      <c r="C199" s="17">
        <f t="shared" si="8"/>
        <v>2765161.42</v>
      </c>
      <c r="D199" s="216"/>
      <c r="E199" s="216"/>
      <c r="F199" s="216">
        <v>1325</v>
      </c>
      <c r="G199" s="17">
        <v>2765161.42</v>
      </c>
      <c r="H199" s="216"/>
      <c r="I199" s="216"/>
      <c r="J199" s="216"/>
      <c r="K199" s="216"/>
      <c r="L199" s="17"/>
      <c r="M199" s="17"/>
      <c r="N199" s="153"/>
      <c r="O199" s="153"/>
      <c r="P199" s="206"/>
    </row>
    <row r="200" spans="1:16" ht="12.75">
      <c r="A200" s="219" t="s">
        <v>940</v>
      </c>
      <c r="B200" s="220" t="s">
        <v>462</v>
      </c>
      <c r="C200" s="17">
        <f t="shared" si="8"/>
        <v>765394.4400000001</v>
      </c>
      <c r="D200" s="216"/>
      <c r="E200" s="216"/>
      <c r="F200" s="216">
        <v>350</v>
      </c>
      <c r="G200" s="17">
        <v>765394.4400000001</v>
      </c>
      <c r="H200" s="216"/>
      <c r="I200" s="216"/>
      <c r="J200" s="216"/>
      <c r="K200" s="216"/>
      <c r="L200" s="17"/>
      <c r="M200" s="17"/>
      <c r="N200" s="153"/>
      <c r="O200" s="153"/>
      <c r="P200" s="206"/>
    </row>
    <row r="201" spans="1:16" ht="12.75">
      <c r="A201" s="219" t="s">
        <v>941</v>
      </c>
      <c r="B201" s="220" t="s">
        <v>463</v>
      </c>
      <c r="C201" s="17">
        <f t="shared" si="8"/>
        <v>760157.64</v>
      </c>
      <c r="D201" s="216"/>
      <c r="E201" s="216"/>
      <c r="F201" s="216">
        <v>356</v>
      </c>
      <c r="G201" s="17">
        <v>760157.64</v>
      </c>
      <c r="H201" s="216"/>
      <c r="I201" s="216"/>
      <c r="J201" s="216"/>
      <c r="K201" s="216"/>
      <c r="L201" s="17"/>
      <c r="M201" s="17"/>
      <c r="N201" s="153"/>
      <c r="O201" s="153"/>
      <c r="P201" s="206"/>
    </row>
    <row r="202" spans="1:16" ht="12.75">
      <c r="A202" s="219" t="s">
        <v>942</v>
      </c>
      <c r="B202" s="220" t="s">
        <v>464</v>
      </c>
      <c r="C202" s="17">
        <f t="shared" si="8"/>
        <v>2873450.82</v>
      </c>
      <c r="D202" s="216"/>
      <c r="E202" s="216"/>
      <c r="F202" s="216">
        <v>1315</v>
      </c>
      <c r="G202" s="17">
        <v>2873450.82</v>
      </c>
      <c r="H202" s="216"/>
      <c r="I202" s="216"/>
      <c r="J202" s="216"/>
      <c r="K202" s="216"/>
      <c r="L202" s="17"/>
      <c r="M202" s="17"/>
      <c r="N202" s="153"/>
      <c r="O202" s="153"/>
      <c r="P202" s="206"/>
    </row>
    <row r="203" spans="1:16" ht="12.75">
      <c r="A203" s="219" t="s">
        <v>943</v>
      </c>
      <c r="B203" s="220" t="s">
        <v>465</v>
      </c>
      <c r="C203" s="17">
        <f t="shared" si="8"/>
        <v>1666275.3</v>
      </c>
      <c r="D203" s="216"/>
      <c r="E203" s="216"/>
      <c r="F203" s="216">
        <v>698</v>
      </c>
      <c r="G203" s="17">
        <v>1666275.3</v>
      </c>
      <c r="H203" s="216"/>
      <c r="I203" s="216"/>
      <c r="J203" s="216"/>
      <c r="K203" s="216"/>
      <c r="L203" s="17"/>
      <c r="M203" s="17"/>
      <c r="N203" s="153"/>
      <c r="O203" s="153"/>
      <c r="P203" s="206"/>
    </row>
    <row r="204" spans="1:16" ht="12.75">
      <c r="A204" s="219" t="s">
        <v>944</v>
      </c>
      <c r="B204" s="220" t="s">
        <v>466</v>
      </c>
      <c r="C204" s="17">
        <f t="shared" si="8"/>
        <v>2853881.28</v>
      </c>
      <c r="D204" s="216"/>
      <c r="E204" s="216"/>
      <c r="F204" s="216">
        <v>1177</v>
      </c>
      <c r="G204" s="17">
        <v>2853881.28</v>
      </c>
      <c r="H204" s="216"/>
      <c r="I204" s="216"/>
      <c r="J204" s="216"/>
      <c r="K204" s="216"/>
      <c r="L204" s="17"/>
      <c r="M204" s="17"/>
      <c r="N204" s="153"/>
      <c r="O204" s="153"/>
      <c r="P204" s="206"/>
    </row>
    <row r="205" spans="1:16" ht="12.75">
      <c r="A205" s="219" t="s">
        <v>945</v>
      </c>
      <c r="B205" s="220" t="s">
        <v>1526</v>
      </c>
      <c r="C205" s="17">
        <f t="shared" si="8"/>
        <v>750854.24</v>
      </c>
      <c r="D205" s="216"/>
      <c r="E205" s="216"/>
      <c r="F205" s="216">
        <v>591.1</v>
      </c>
      <c r="G205" s="17">
        <v>750854.24</v>
      </c>
      <c r="H205" s="216"/>
      <c r="I205" s="216"/>
      <c r="J205" s="216"/>
      <c r="K205" s="216"/>
      <c r="L205" s="17"/>
      <c r="M205" s="17"/>
      <c r="N205" s="153"/>
      <c r="O205" s="153"/>
      <c r="P205" s="206"/>
    </row>
    <row r="206" spans="1:16" ht="12.75">
      <c r="A206" s="219" t="s">
        <v>946</v>
      </c>
      <c r="B206" s="220" t="s">
        <v>1223</v>
      </c>
      <c r="C206" s="17">
        <f t="shared" si="8"/>
        <v>755305.3099999999</v>
      </c>
      <c r="D206" s="216"/>
      <c r="E206" s="216"/>
      <c r="F206" s="216">
        <v>591.1</v>
      </c>
      <c r="G206" s="17">
        <v>755305.3099999999</v>
      </c>
      <c r="H206" s="216"/>
      <c r="I206" s="216"/>
      <c r="J206" s="216"/>
      <c r="K206" s="216"/>
      <c r="L206" s="17"/>
      <c r="M206" s="17"/>
      <c r="N206" s="153"/>
      <c r="O206" s="153"/>
      <c r="P206" s="206"/>
    </row>
    <row r="207" spans="1:16" ht="12.75">
      <c r="A207" s="219" t="s">
        <v>947</v>
      </c>
      <c r="B207" s="220" t="s">
        <v>77</v>
      </c>
      <c r="C207" s="17">
        <f t="shared" si="8"/>
        <v>1444473.25</v>
      </c>
      <c r="D207" s="216"/>
      <c r="E207" s="216"/>
      <c r="F207" s="216">
        <v>989</v>
      </c>
      <c r="G207" s="17">
        <v>1444473.25</v>
      </c>
      <c r="H207" s="216"/>
      <c r="I207" s="216"/>
      <c r="J207" s="216"/>
      <c r="K207" s="216"/>
      <c r="L207" s="17"/>
      <c r="M207" s="17"/>
      <c r="N207" s="153"/>
      <c r="O207" s="153"/>
      <c r="P207" s="206"/>
    </row>
    <row r="208" spans="1:16" ht="25.5">
      <c r="A208" s="219" t="s">
        <v>948</v>
      </c>
      <c r="B208" s="215" t="s">
        <v>920</v>
      </c>
      <c r="C208" s="17">
        <f t="shared" si="8"/>
        <v>941368.71</v>
      </c>
      <c r="D208" s="216"/>
      <c r="E208" s="216"/>
      <c r="F208" s="216">
        <v>389</v>
      </c>
      <c r="G208" s="17">
        <v>941368.71</v>
      </c>
      <c r="H208" s="216"/>
      <c r="I208" s="216"/>
      <c r="J208" s="216"/>
      <c r="K208" s="216"/>
      <c r="L208" s="17"/>
      <c r="M208" s="17"/>
      <c r="N208" s="153"/>
      <c r="O208" s="153"/>
      <c r="P208" s="206"/>
    </row>
    <row r="209" spans="1:16" ht="25.5">
      <c r="A209" s="219" t="s">
        <v>949</v>
      </c>
      <c r="B209" s="215" t="s">
        <v>668</v>
      </c>
      <c r="C209" s="17">
        <f t="shared" si="8"/>
        <v>2702898.57</v>
      </c>
      <c r="D209" s="216"/>
      <c r="E209" s="216"/>
      <c r="F209" s="216">
        <v>1112</v>
      </c>
      <c r="G209" s="17">
        <v>2702898.57</v>
      </c>
      <c r="H209" s="216"/>
      <c r="I209" s="216"/>
      <c r="J209" s="216"/>
      <c r="K209" s="216"/>
      <c r="L209" s="17"/>
      <c r="M209" s="17"/>
      <c r="N209" s="153"/>
      <c r="O209" s="153"/>
      <c r="P209" s="206"/>
    </row>
    <row r="210" spans="1:16" ht="25.5">
      <c r="A210" s="219" t="s">
        <v>950</v>
      </c>
      <c r="B210" s="215" t="s">
        <v>1535</v>
      </c>
      <c r="C210" s="17">
        <f t="shared" si="8"/>
        <v>2104146.2</v>
      </c>
      <c r="D210" s="216"/>
      <c r="E210" s="216"/>
      <c r="F210" s="216">
        <v>841</v>
      </c>
      <c r="G210" s="17">
        <v>2104146.2</v>
      </c>
      <c r="H210" s="216"/>
      <c r="I210" s="216"/>
      <c r="J210" s="216"/>
      <c r="K210" s="216"/>
      <c r="L210" s="17"/>
      <c r="M210" s="17"/>
      <c r="N210" s="153"/>
      <c r="O210" s="153"/>
      <c r="P210" s="206"/>
    </row>
    <row r="211" spans="1:16" ht="12.75">
      <c r="A211" s="198"/>
      <c r="B211" s="202" t="s">
        <v>1437</v>
      </c>
      <c r="C211" s="218">
        <f>SUM(C181:C210)</f>
        <v>44730476.87000001</v>
      </c>
      <c r="D211" s="218"/>
      <c r="E211" s="218"/>
      <c r="F211" s="218">
        <f>SUM(F181:F210)</f>
        <v>20003.2</v>
      </c>
      <c r="G211" s="218">
        <f>SUM(G181:G210)</f>
        <v>44730476.87000001</v>
      </c>
      <c r="H211" s="218"/>
      <c r="I211" s="218"/>
      <c r="J211" s="218"/>
      <c r="K211" s="218"/>
      <c r="L211" s="218"/>
      <c r="M211" s="218"/>
      <c r="N211" s="153"/>
      <c r="O211" s="153"/>
      <c r="P211" s="206"/>
    </row>
    <row r="212" spans="1:16" ht="12.75">
      <c r="A212" s="337" t="s">
        <v>1373</v>
      </c>
      <c r="B212" s="338"/>
      <c r="C212" s="338"/>
      <c r="D212" s="338"/>
      <c r="E212" s="338"/>
      <c r="F212" s="338"/>
      <c r="G212" s="338"/>
      <c r="H212" s="338"/>
      <c r="I212" s="338"/>
      <c r="J212" s="338"/>
      <c r="K212" s="338"/>
      <c r="L212" s="338"/>
      <c r="M212" s="338"/>
      <c r="N212" s="338"/>
      <c r="O212" s="338"/>
      <c r="P212" s="339"/>
    </row>
    <row r="213" spans="1:16" ht="25.5">
      <c r="A213" s="214">
        <v>147</v>
      </c>
      <c r="B213" s="215" t="s">
        <v>1536</v>
      </c>
      <c r="C213" s="17">
        <f>D213+E213+G213</f>
        <v>3932419.42</v>
      </c>
      <c r="D213" s="17">
        <v>3932419.42</v>
      </c>
      <c r="E213" s="17"/>
      <c r="F213" s="17"/>
      <c r="G213" s="17"/>
      <c r="H213" s="153"/>
      <c r="I213" s="153"/>
      <c r="J213" s="17"/>
      <c r="K213" s="153"/>
      <c r="L213" s="153"/>
      <c r="M213" s="153"/>
      <c r="N213" s="153"/>
      <c r="O213" s="153"/>
      <c r="P213" s="206"/>
    </row>
    <row r="214" spans="1:16" ht="25.5">
      <c r="A214" s="214">
        <v>148</v>
      </c>
      <c r="B214" s="215" t="s">
        <v>1537</v>
      </c>
      <c r="C214" s="17">
        <f aca="true" t="shared" si="9" ref="C214:C239">D214+E214+G214</f>
        <v>3435557.76</v>
      </c>
      <c r="D214" s="17">
        <v>3435557.76</v>
      </c>
      <c r="E214" s="17"/>
      <c r="F214" s="17"/>
      <c r="G214" s="17"/>
      <c r="H214" s="153"/>
      <c r="I214" s="153"/>
      <c r="J214" s="17"/>
      <c r="K214" s="153"/>
      <c r="L214" s="153"/>
      <c r="M214" s="153"/>
      <c r="N214" s="153"/>
      <c r="O214" s="153"/>
      <c r="P214" s="206"/>
    </row>
    <row r="215" spans="1:16" ht="25.5">
      <c r="A215" s="214">
        <v>149</v>
      </c>
      <c r="B215" s="215" t="s">
        <v>1538</v>
      </c>
      <c r="C215" s="17">
        <f t="shared" si="9"/>
        <v>3986258.72</v>
      </c>
      <c r="D215" s="17">
        <v>3986258.72</v>
      </c>
      <c r="E215" s="17"/>
      <c r="F215" s="17"/>
      <c r="G215" s="17"/>
      <c r="H215" s="153"/>
      <c r="I215" s="153"/>
      <c r="J215" s="17"/>
      <c r="K215" s="153"/>
      <c r="L215" s="153"/>
      <c r="M215" s="153"/>
      <c r="N215" s="153"/>
      <c r="O215" s="153"/>
      <c r="P215" s="206"/>
    </row>
    <row r="216" spans="1:16" ht="25.5">
      <c r="A216" s="214">
        <v>150</v>
      </c>
      <c r="B216" s="215" t="s">
        <v>1539</v>
      </c>
      <c r="C216" s="17">
        <f t="shared" si="9"/>
        <v>2846898.66</v>
      </c>
      <c r="D216" s="17">
        <v>2608312.52</v>
      </c>
      <c r="E216" s="17">
        <v>238586.14</v>
      </c>
      <c r="F216" s="17"/>
      <c r="G216" s="17"/>
      <c r="H216" s="153"/>
      <c r="I216" s="153"/>
      <c r="J216" s="17"/>
      <c r="K216" s="153"/>
      <c r="L216" s="153"/>
      <c r="M216" s="153"/>
      <c r="N216" s="153"/>
      <c r="O216" s="153"/>
      <c r="P216" s="206"/>
    </row>
    <row r="217" spans="1:16" ht="25.5">
      <c r="A217" s="214">
        <v>151</v>
      </c>
      <c r="B217" s="215" t="s">
        <v>616</v>
      </c>
      <c r="C217" s="17">
        <f t="shared" si="9"/>
        <v>3745683.91</v>
      </c>
      <c r="D217" s="17">
        <v>3745683.91</v>
      </c>
      <c r="E217" s="17"/>
      <c r="F217" s="17"/>
      <c r="G217" s="17"/>
      <c r="H217" s="153"/>
      <c r="I217" s="153"/>
      <c r="J217" s="17"/>
      <c r="K217" s="153"/>
      <c r="L217" s="153"/>
      <c r="M217" s="153"/>
      <c r="N217" s="153"/>
      <c r="O217" s="153"/>
      <c r="P217" s="206"/>
    </row>
    <row r="218" spans="1:16" ht="25.5">
      <c r="A218" s="214">
        <v>152</v>
      </c>
      <c r="B218" s="215" t="s">
        <v>617</v>
      </c>
      <c r="C218" s="17">
        <f t="shared" si="9"/>
        <v>3405892.24</v>
      </c>
      <c r="D218" s="17">
        <v>3405892.24</v>
      </c>
      <c r="E218" s="17"/>
      <c r="F218" s="17"/>
      <c r="G218" s="17"/>
      <c r="H218" s="153"/>
      <c r="I218" s="153"/>
      <c r="J218" s="17"/>
      <c r="K218" s="153"/>
      <c r="L218" s="153"/>
      <c r="M218" s="153"/>
      <c r="N218" s="153"/>
      <c r="O218" s="153"/>
      <c r="P218" s="206"/>
    </row>
    <row r="219" spans="1:16" ht="25.5">
      <c r="A219" s="214">
        <v>153</v>
      </c>
      <c r="B219" s="215" t="s">
        <v>1433</v>
      </c>
      <c r="C219" s="17">
        <f t="shared" si="9"/>
        <v>5681834.15</v>
      </c>
      <c r="D219" s="17">
        <v>5681834.15</v>
      </c>
      <c r="E219" s="17"/>
      <c r="F219" s="17"/>
      <c r="G219" s="17"/>
      <c r="H219" s="153"/>
      <c r="I219" s="153"/>
      <c r="J219" s="17"/>
      <c r="K219" s="153"/>
      <c r="L219" s="153"/>
      <c r="M219" s="153"/>
      <c r="N219" s="153"/>
      <c r="O219" s="153"/>
      <c r="P219" s="206"/>
    </row>
    <row r="220" spans="1:16" ht="25.5">
      <c r="A220" s="214">
        <v>154</v>
      </c>
      <c r="B220" s="215" t="s">
        <v>618</v>
      </c>
      <c r="C220" s="17">
        <f t="shared" si="9"/>
        <v>4989180.55</v>
      </c>
      <c r="D220" s="17">
        <v>4989180.55</v>
      </c>
      <c r="E220" s="17"/>
      <c r="F220" s="17"/>
      <c r="G220" s="17"/>
      <c r="H220" s="153"/>
      <c r="I220" s="153"/>
      <c r="J220" s="17"/>
      <c r="K220" s="153"/>
      <c r="L220" s="153"/>
      <c r="M220" s="153"/>
      <c r="N220" s="153"/>
      <c r="O220" s="153"/>
      <c r="P220" s="206"/>
    </row>
    <row r="221" spans="1:16" ht="25.5">
      <c r="A221" s="214">
        <v>155</v>
      </c>
      <c r="B221" s="215" t="s">
        <v>173</v>
      </c>
      <c r="C221" s="17">
        <f t="shared" si="9"/>
        <v>1560523.18</v>
      </c>
      <c r="D221" s="17">
        <v>1560523.18</v>
      </c>
      <c r="E221" s="17"/>
      <c r="F221" s="17"/>
      <c r="G221" s="17"/>
      <c r="H221" s="153"/>
      <c r="I221" s="153"/>
      <c r="J221" s="17"/>
      <c r="K221" s="153"/>
      <c r="L221" s="153"/>
      <c r="M221" s="153"/>
      <c r="N221" s="153"/>
      <c r="O221" s="153"/>
      <c r="P221" s="206"/>
    </row>
    <row r="222" spans="1:16" ht="25.5">
      <c r="A222" s="214">
        <v>156</v>
      </c>
      <c r="B222" s="215" t="s">
        <v>174</v>
      </c>
      <c r="C222" s="17">
        <f t="shared" si="9"/>
        <v>9300471.17</v>
      </c>
      <c r="D222" s="17">
        <v>9300471.17</v>
      </c>
      <c r="E222" s="17"/>
      <c r="F222" s="17"/>
      <c r="G222" s="17"/>
      <c r="H222" s="153"/>
      <c r="I222" s="153"/>
      <c r="J222" s="17"/>
      <c r="K222" s="153"/>
      <c r="L222" s="153"/>
      <c r="M222" s="153"/>
      <c r="N222" s="153"/>
      <c r="O222" s="153"/>
      <c r="P222" s="206"/>
    </row>
    <row r="223" spans="1:16" ht="25.5">
      <c r="A223" s="214">
        <v>157</v>
      </c>
      <c r="B223" s="215" t="s">
        <v>175</v>
      </c>
      <c r="C223" s="17">
        <f t="shared" si="9"/>
        <v>9434598.31</v>
      </c>
      <c r="D223" s="216">
        <v>5643533.48</v>
      </c>
      <c r="E223" s="17"/>
      <c r="F223" s="17">
        <v>1624</v>
      </c>
      <c r="G223" s="17">
        <v>3791064.83</v>
      </c>
      <c r="H223" s="153"/>
      <c r="I223" s="153"/>
      <c r="J223" s="17"/>
      <c r="K223" s="153"/>
      <c r="L223" s="153"/>
      <c r="M223" s="153"/>
      <c r="N223" s="153"/>
      <c r="O223" s="153"/>
      <c r="P223" s="206"/>
    </row>
    <row r="224" spans="1:16" ht="25.5">
      <c r="A224" s="214">
        <v>158</v>
      </c>
      <c r="B224" s="215" t="s">
        <v>619</v>
      </c>
      <c r="C224" s="17">
        <f t="shared" si="9"/>
        <v>3298445.62</v>
      </c>
      <c r="D224" s="216">
        <v>1975474.85</v>
      </c>
      <c r="E224" s="17"/>
      <c r="F224" s="17">
        <v>554</v>
      </c>
      <c r="G224" s="17">
        <v>1322970.77</v>
      </c>
      <c r="H224" s="153"/>
      <c r="I224" s="153"/>
      <c r="J224" s="17"/>
      <c r="K224" s="153"/>
      <c r="L224" s="153"/>
      <c r="M224" s="153"/>
      <c r="N224" s="153"/>
      <c r="O224" s="153"/>
      <c r="P224" s="206"/>
    </row>
    <row r="225" spans="1:16" ht="25.5">
      <c r="A225" s="214">
        <v>159</v>
      </c>
      <c r="B225" s="215" t="s">
        <v>620</v>
      </c>
      <c r="C225" s="17">
        <f t="shared" si="9"/>
        <v>6063247.24</v>
      </c>
      <c r="D225" s="216">
        <v>3491541.77</v>
      </c>
      <c r="E225" s="17"/>
      <c r="F225" s="17">
        <v>1107</v>
      </c>
      <c r="G225" s="17">
        <v>2571705.47</v>
      </c>
      <c r="H225" s="153"/>
      <c r="I225" s="153"/>
      <c r="J225" s="17"/>
      <c r="K225" s="153"/>
      <c r="L225" s="153"/>
      <c r="M225" s="153"/>
      <c r="N225" s="153"/>
      <c r="O225" s="153"/>
      <c r="P225" s="206"/>
    </row>
    <row r="226" spans="1:16" ht="25.5">
      <c r="A226" s="214">
        <v>160</v>
      </c>
      <c r="B226" s="215" t="s">
        <v>621</v>
      </c>
      <c r="C226" s="17">
        <f t="shared" si="9"/>
        <v>2115991.56</v>
      </c>
      <c r="D226" s="17">
        <v>2115991.56</v>
      </c>
      <c r="E226" s="17"/>
      <c r="F226" s="17"/>
      <c r="G226" s="17"/>
      <c r="H226" s="153"/>
      <c r="I226" s="153"/>
      <c r="J226" s="17"/>
      <c r="K226" s="153"/>
      <c r="L226" s="153"/>
      <c r="M226" s="153"/>
      <c r="N226" s="153"/>
      <c r="O226" s="153"/>
      <c r="P226" s="206"/>
    </row>
    <row r="227" spans="1:16" ht="25.5">
      <c r="A227" s="214">
        <v>161</v>
      </c>
      <c r="B227" s="215" t="s">
        <v>622</v>
      </c>
      <c r="C227" s="17">
        <f t="shared" si="9"/>
        <v>6558605.4</v>
      </c>
      <c r="D227" s="216">
        <v>4031732.69</v>
      </c>
      <c r="E227" s="17"/>
      <c r="F227" s="17">
        <v>1061</v>
      </c>
      <c r="G227" s="17">
        <v>2526872.71</v>
      </c>
      <c r="H227" s="153"/>
      <c r="I227" s="153"/>
      <c r="J227" s="17"/>
      <c r="K227" s="153"/>
      <c r="L227" s="153"/>
      <c r="M227" s="153"/>
      <c r="N227" s="153"/>
      <c r="O227" s="153"/>
      <c r="P227" s="206"/>
    </row>
    <row r="228" spans="1:16" ht="25.5">
      <c r="A228" s="214">
        <v>162</v>
      </c>
      <c r="B228" s="215" t="s">
        <v>651</v>
      </c>
      <c r="C228" s="17">
        <f t="shared" si="9"/>
        <v>1224927.03</v>
      </c>
      <c r="D228" s="216"/>
      <c r="E228" s="17"/>
      <c r="F228" s="17">
        <v>782.6</v>
      </c>
      <c r="G228" s="17">
        <v>1224927.03</v>
      </c>
      <c r="H228" s="153"/>
      <c r="I228" s="153"/>
      <c r="J228" s="17"/>
      <c r="K228" s="153"/>
      <c r="L228" s="153"/>
      <c r="M228" s="153"/>
      <c r="N228" s="153"/>
      <c r="O228" s="153"/>
      <c r="P228" s="206"/>
    </row>
    <row r="229" spans="1:16" ht="25.5">
      <c r="A229" s="214">
        <v>163</v>
      </c>
      <c r="B229" s="215" t="s">
        <v>1165</v>
      </c>
      <c r="C229" s="17">
        <f t="shared" si="9"/>
        <v>2177053.94</v>
      </c>
      <c r="D229" s="17">
        <v>2177053.94</v>
      </c>
      <c r="E229" s="216"/>
      <c r="F229" s="216"/>
      <c r="G229" s="216"/>
      <c r="H229" s="221"/>
      <c r="I229" s="153"/>
      <c r="J229" s="17"/>
      <c r="K229" s="153"/>
      <c r="L229" s="153"/>
      <c r="M229" s="153"/>
      <c r="N229" s="153"/>
      <c r="O229" s="153"/>
      <c r="P229" s="206"/>
    </row>
    <row r="230" spans="1:16" ht="25.5">
      <c r="A230" s="214">
        <v>164</v>
      </c>
      <c r="B230" s="215" t="s">
        <v>971</v>
      </c>
      <c r="C230" s="17">
        <f t="shared" si="9"/>
        <v>1289170.82</v>
      </c>
      <c r="D230" s="216"/>
      <c r="E230" s="216"/>
      <c r="F230" s="216">
        <v>864</v>
      </c>
      <c r="G230" s="17">
        <v>1289170.82</v>
      </c>
      <c r="H230" s="221"/>
      <c r="I230" s="153"/>
      <c r="J230" s="17"/>
      <c r="K230" s="153"/>
      <c r="L230" s="153"/>
      <c r="M230" s="153"/>
      <c r="N230" s="153"/>
      <c r="O230" s="153"/>
      <c r="P230" s="206"/>
    </row>
    <row r="231" spans="1:16" ht="25.5">
      <c r="A231" s="214">
        <v>165</v>
      </c>
      <c r="B231" s="215" t="s">
        <v>973</v>
      </c>
      <c r="C231" s="17">
        <f t="shared" si="9"/>
        <v>9600573.37</v>
      </c>
      <c r="D231" s="17">
        <v>9600573.37</v>
      </c>
      <c r="E231" s="216"/>
      <c r="F231" s="216"/>
      <c r="G231" s="216"/>
      <c r="H231" s="153"/>
      <c r="I231" s="153"/>
      <c r="J231" s="17"/>
      <c r="K231" s="153"/>
      <c r="L231" s="153"/>
      <c r="M231" s="153"/>
      <c r="N231" s="153"/>
      <c r="O231" s="153"/>
      <c r="P231" s="206"/>
    </row>
    <row r="232" spans="1:16" ht="38.25">
      <c r="A232" s="214">
        <v>166</v>
      </c>
      <c r="B232" s="215" t="s">
        <v>975</v>
      </c>
      <c r="C232" s="17">
        <f t="shared" si="9"/>
        <v>7046455.47</v>
      </c>
      <c r="D232" s="17">
        <v>7046455.47</v>
      </c>
      <c r="E232" s="216"/>
      <c r="F232" s="216"/>
      <c r="G232" s="216"/>
      <c r="H232" s="221"/>
      <c r="I232" s="153"/>
      <c r="J232" s="17"/>
      <c r="K232" s="153"/>
      <c r="L232" s="153"/>
      <c r="M232" s="153"/>
      <c r="N232" s="153"/>
      <c r="O232" s="153"/>
      <c r="P232" s="206"/>
    </row>
    <row r="233" spans="1:16" ht="25.5">
      <c r="A233" s="214">
        <v>167</v>
      </c>
      <c r="B233" s="215" t="s">
        <v>977</v>
      </c>
      <c r="C233" s="17">
        <f t="shared" si="9"/>
        <v>2134035.1</v>
      </c>
      <c r="D233" s="216">
        <v>776726.13</v>
      </c>
      <c r="E233" s="216"/>
      <c r="F233" s="216">
        <v>574</v>
      </c>
      <c r="G233" s="216">
        <v>1357308.97</v>
      </c>
      <c r="H233" s="221"/>
      <c r="I233" s="153"/>
      <c r="J233" s="17"/>
      <c r="K233" s="153"/>
      <c r="L233" s="153"/>
      <c r="M233" s="153"/>
      <c r="N233" s="153"/>
      <c r="O233" s="153"/>
      <c r="P233" s="206"/>
    </row>
    <row r="234" spans="1:16" ht="25.5">
      <c r="A234" s="214">
        <v>168</v>
      </c>
      <c r="B234" s="215" t="s">
        <v>979</v>
      </c>
      <c r="C234" s="17">
        <f t="shared" si="9"/>
        <v>1860558.82</v>
      </c>
      <c r="D234" s="17">
        <v>1860558.82</v>
      </c>
      <c r="E234" s="216"/>
      <c r="F234" s="216"/>
      <c r="G234" s="216"/>
      <c r="H234" s="221"/>
      <c r="I234" s="153"/>
      <c r="J234" s="17"/>
      <c r="K234" s="153"/>
      <c r="L234" s="153"/>
      <c r="M234" s="153"/>
      <c r="N234" s="153"/>
      <c r="O234" s="153"/>
      <c r="P234" s="206"/>
    </row>
    <row r="235" spans="1:16" ht="25.5">
      <c r="A235" s="214">
        <v>169</v>
      </c>
      <c r="B235" s="215" t="s">
        <v>981</v>
      </c>
      <c r="C235" s="17">
        <f t="shared" si="9"/>
        <v>5258702.27</v>
      </c>
      <c r="D235" s="17">
        <v>5258702.27</v>
      </c>
      <c r="E235" s="216"/>
      <c r="F235" s="216"/>
      <c r="G235" s="216"/>
      <c r="H235" s="221"/>
      <c r="I235" s="153"/>
      <c r="J235" s="17"/>
      <c r="K235" s="153"/>
      <c r="L235" s="153"/>
      <c r="M235" s="153"/>
      <c r="N235" s="153"/>
      <c r="O235" s="153"/>
      <c r="P235" s="206"/>
    </row>
    <row r="236" spans="1:16" ht="25.5">
      <c r="A236" s="214">
        <v>170</v>
      </c>
      <c r="B236" s="215" t="s">
        <v>982</v>
      </c>
      <c r="C236" s="17">
        <f t="shared" si="9"/>
        <v>6888262.98</v>
      </c>
      <c r="D236" s="17">
        <v>6888262.98</v>
      </c>
      <c r="E236" s="216"/>
      <c r="F236" s="216"/>
      <c r="G236" s="216"/>
      <c r="H236" s="221"/>
      <c r="I236" s="153"/>
      <c r="J236" s="17"/>
      <c r="K236" s="153"/>
      <c r="L236" s="153"/>
      <c r="M236" s="153"/>
      <c r="N236" s="153"/>
      <c r="O236" s="153"/>
      <c r="P236" s="206"/>
    </row>
    <row r="237" spans="1:16" ht="25.5">
      <c r="A237" s="214">
        <v>171</v>
      </c>
      <c r="B237" s="215" t="s">
        <v>985</v>
      </c>
      <c r="C237" s="17">
        <f t="shared" si="9"/>
        <v>3196404.5</v>
      </c>
      <c r="D237" s="17">
        <v>3196404.5</v>
      </c>
      <c r="E237" s="216"/>
      <c r="F237" s="216"/>
      <c r="G237" s="216"/>
      <c r="H237" s="221"/>
      <c r="I237" s="153"/>
      <c r="J237" s="17"/>
      <c r="K237" s="153"/>
      <c r="L237" s="153"/>
      <c r="M237" s="153"/>
      <c r="N237" s="153"/>
      <c r="O237" s="153"/>
      <c r="P237" s="206"/>
    </row>
    <row r="238" spans="1:16" ht="25.5">
      <c r="A238" s="214">
        <v>172</v>
      </c>
      <c r="B238" s="215" t="s">
        <v>41</v>
      </c>
      <c r="C238" s="17">
        <f>D238+E238+G238+I238</f>
        <v>10313453.29</v>
      </c>
      <c r="D238" s="216"/>
      <c r="E238" s="17"/>
      <c r="F238" s="17"/>
      <c r="G238" s="17"/>
      <c r="H238" s="221">
        <v>6</v>
      </c>
      <c r="I238" s="17">
        <v>10313453.29</v>
      </c>
      <c r="J238" s="17"/>
      <c r="K238" s="153"/>
      <c r="L238" s="153"/>
      <c r="M238" s="153"/>
      <c r="N238" s="153"/>
      <c r="O238" s="153"/>
      <c r="P238" s="206"/>
    </row>
    <row r="239" spans="1:16" ht="25.5">
      <c r="A239" s="214">
        <v>173</v>
      </c>
      <c r="B239" s="215" t="s">
        <v>1166</v>
      </c>
      <c r="C239" s="17">
        <f t="shared" si="9"/>
        <v>739052</v>
      </c>
      <c r="D239" s="17">
        <v>739052</v>
      </c>
      <c r="E239" s="17"/>
      <c r="F239" s="17"/>
      <c r="G239" s="17"/>
      <c r="H239" s="221"/>
      <c r="I239" s="17"/>
      <c r="J239" s="17"/>
      <c r="K239" s="153"/>
      <c r="L239" s="153"/>
      <c r="M239" s="153"/>
      <c r="N239" s="153"/>
      <c r="O239" s="153"/>
      <c r="P239" s="206"/>
    </row>
    <row r="240" spans="1:16" ht="12.75">
      <c r="A240" s="198"/>
      <c r="B240" s="222" t="s">
        <v>1437</v>
      </c>
      <c r="C240" s="218">
        <f>SUM(C213:C239)</f>
        <v>122084257.47999999</v>
      </c>
      <c r="D240" s="218">
        <f aca="true" t="shared" si="10" ref="D240:I240">SUM(D213:D239)</f>
        <v>97448197.44999999</v>
      </c>
      <c r="E240" s="218">
        <f t="shared" si="10"/>
        <v>238586.14</v>
      </c>
      <c r="F240" s="218">
        <f t="shared" si="10"/>
        <v>6566.6</v>
      </c>
      <c r="G240" s="218">
        <f t="shared" si="10"/>
        <v>14084020.600000001</v>
      </c>
      <c r="H240" s="223">
        <f t="shared" si="10"/>
        <v>6</v>
      </c>
      <c r="I240" s="218">
        <f t="shared" si="10"/>
        <v>10313453.29</v>
      </c>
      <c r="J240" s="153"/>
      <c r="K240" s="153"/>
      <c r="L240" s="207"/>
      <c r="M240" s="207"/>
      <c r="N240" s="153"/>
      <c r="O240" s="153"/>
      <c r="P240" s="206"/>
    </row>
    <row r="241" spans="1:16" ht="12.75">
      <c r="A241" s="346" t="s">
        <v>1374</v>
      </c>
      <c r="B241" s="347"/>
      <c r="C241" s="347"/>
      <c r="D241" s="347"/>
      <c r="E241" s="347"/>
      <c r="F241" s="347"/>
      <c r="G241" s="347"/>
      <c r="H241" s="347"/>
      <c r="I241" s="347"/>
      <c r="J241" s="347"/>
      <c r="K241" s="347"/>
      <c r="L241" s="347"/>
      <c r="M241" s="347"/>
      <c r="N241" s="347"/>
      <c r="O241" s="347"/>
      <c r="P241" s="348"/>
    </row>
    <row r="242" spans="1:16" ht="25.5">
      <c r="A242" s="214">
        <v>174</v>
      </c>
      <c r="B242" s="215" t="s">
        <v>623</v>
      </c>
      <c r="C242" s="17">
        <f>D242+E242+G242</f>
        <v>596510.4</v>
      </c>
      <c r="D242" s="216"/>
      <c r="E242" s="17"/>
      <c r="F242" s="17">
        <v>251</v>
      </c>
      <c r="G242" s="17">
        <v>596510.4</v>
      </c>
      <c r="H242" s="17"/>
      <c r="I242" s="153"/>
      <c r="J242" s="153"/>
      <c r="K242" s="153"/>
      <c r="L242" s="153"/>
      <c r="M242" s="153"/>
      <c r="N242" s="153"/>
      <c r="O242" s="153"/>
      <c r="P242" s="206"/>
    </row>
    <row r="243" spans="1:16" ht="38.25">
      <c r="A243" s="214">
        <v>175</v>
      </c>
      <c r="B243" s="215" t="s">
        <v>1090</v>
      </c>
      <c r="C243" s="17">
        <f aca="true" t="shared" si="11" ref="C243:C250">D243+E243+G243</f>
        <v>3811691.06</v>
      </c>
      <c r="D243" s="17">
        <v>3811691.06</v>
      </c>
      <c r="E243" s="17"/>
      <c r="F243" s="17"/>
      <c r="G243" s="17"/>
      <c r="H243" s="17"/>
      <c r="I243" s="153"/>
      <c r="J243" s="153"/>
      <c r="K243" s="153"/>
      <c r="L243" s="153"/>
      <c r="M243" s="153"/>
      <c r="N243" s="153"/>
      <c r="O243" s="153"/>
      <c r="P243" s="206"/>
    </row>
    <row r="244" spans="1:16" ht="25.5">
      <c r="A244" s="214">
        <v>176</v>
      </c>
      <c r="B244" s="215" t="s">
        <v>1477</v>
      </c>
      <c r="C244" s="17">
        <f t="shared" si="11"/>
        <v>1215942.31</v>
      </c>
      <c r="D244" s="216"/>
      <c r="E244" s="17"/>
      <c r="F244" s="17">
        <v>485</v>
      </c>
      <c r="G244" s="17">
        <v>1215942.31</v>
      </c>
      <c r="H244" s="17"/>
      <c r="I244" s="153"/>
      <c r="J244" s="153"/>
      <c r="K244" s="153"/>
      <c r="L244" s="153"/>
      <c r="M244" s="153"/>
      <c r="N244" s="153"/>
      <c r="O244" s="153"/>
      <c r="P244" s="206"/>
    </row>
    <row r="245" spans="1:16" ht="25.5">
      <c r="A245" s="214">
        <v>177</v>
      </c>
      <c r="B245" s="215" t="s">
        <v>624</v>
      </c>
      <c r="C245" s="17">
        <f t="shared" si="11"/>
        <v>1384916.46</v>
      </c>
      <c r="D245" s="216"/>
      <c r="E245" s="17"/>
      <c r="F245" s="17">
        <v>584</v>
      </c>
      <c r="G245" s="17">
        <v>1384916.46</v>
      </c>
      <c r="H245" s="17"/>
      <c r="I245" s="153"/>
      <c r="J245" s="153"/>
      <c r="K245" s="153"/>
      <c r="L245" s="153"/>
      <c r="M245" s="153"/>
      <c r="N245" s="153"/>
      <c r="O245" s="153"/>
      <c r="P245" s="206"/>
    </row>
    <row r="246" spans="1:16" ht="25.5">
      <c r="A246" s="214">
        <v>178</v>
      </c>
      <c r="B246" s="215" t="s">
        <v>1041</v>
      </c>
      <c r="C246" s="17">
        <f t="shared" si="11"/>
        <v>3051114.31</v>
      </c>
      <c r="D246" s="17">
        <v>2874189.58</v>
      </c>
      <c r="E246" s="17">
        <v>176924.73</v>
      </c>
      <c r="F246" s="17"/>
      <c r="G246" s="17"/>
      <c r="H246" s="17"/>
      <c r="I246" s="153"/>
      <c r="J246" s="153"/>
      <c r="K246" s="153"/>
      <c r="L246" s="153"/>
      <c r="M246" s="153"/>
      <c r="N246" s="153"/>
      <c r="O246" s="153"/>
      <c r="P246" s="206"/>
    </row>
    <row r="247" spans="1:16" ht="25.5">
      <c r="A247" s="214">
        <v>179</v>
      </c>
      <c r="B247" s="215" t="s">
        <v>1042</v>
      </c>
      <c r="C247" s="17">
        <f t="shared" si="11"/>
        <v>980086.78</v>
      </c>
      <c r="D247" s="17">
        <v>775306.27</v>
      </c>
      <c r="E247" s="17">
        <v>204780.51</v>
      </c>
      <c r="F247" s="17"/>
      <c r="G247" s="17"/>
      <c r="H247" s="17"/>
      <c r="I247" s="153"/>
      <c r="J247" s="153"/>
      <c r="K247" s="153"/>
      <c r="L247" s="153"/>
      <c r="M247" s="153"/>
      <c r="N247" s="153"/>
      <c r="O247" s="153"/>
      <c r="P247" s="206"/>
    </row>
    <row r="248" spans="1:16" ht="25.5">
      <c r="A248" s="214">
        <v>180</v>
      </c>
      <c r="B248" s="215" t="s">
        <v>958</v>
      </c>
      <c r="C248" s="17">
        <f t="shared" si="11"/>
        <v>1494684.14</v>
      </c>
      <c r="D248" s="216"/>
      <c r="E248" s="17"/>
      <c r="F248" s="17">
        <v>620</v>
      </c>
      <c r="G248" s="17">
        <v>1494684.14</v>
      </c>
      <c r="H248" s="17"/>
      <c r="I248" s="153"/>
      <c r="J248" s="153"/>
      <c r="K248" s="153"/>
      <c r="L248" s="153"/>
      <c r="M248" s="153"/>
      <c r="N248" s="153"/>
      <c r="O248" s="153"/>
      <c r="P248" s="206"/>
    </row>
    <row r="249" spans="1:16" ht="25.5">
      <c r="A249" s="214">
        <v>181</v>
      </c>
      <c r="B249" s="215" t="s">
        <v>959</v>
      </c>
      <c r="C249" s="17">
        <f t="shared" si="11"/>
        <v>1494684.14</v>
      </c>
      <c r="D249" s="216"/>
      <c r="E249" s="17"/>
      <c r="F249" s="17">
        <v>620</v>
      </c>
      <c r="G249" s="17">
        <v>1494684.14</v>
      </c>
      <c r="H249" s="17"/>
      <c r="I249" s="153"/>
      <c r="J249" s="153"/>
      <c r="K249" s="153"/>
      <c r="L249" s="153"/>
      <c r="M249" s="153"/>
      <c r="N249" s="153"/>
      <c r="O249" s="153"/>
      <c r="P249" s="206"/>
    </row>
    <row r="250" spans="1:16" ht="25.5">
      <c r="A250" s="214">
        <v>182</v>
      </c>
      <c r="B250" s="215" t="s">
        <v>960</v>
      </c>
      <c r="C250" s="17">
        <f t="shared" si="11"/>
        <v>671176.13</v>
      </c>
      <c r="D250" s="216">
        <v>21927.63</v>
      </c>
      <c r="E250" s="17"/>
      <c r="F250" s="17">
        <v>258</v>
      </c>
      <c r="G250" s="17">
        <v>649248.5</v>
      </c>
      <c r="H250" s="17"/>
      <c r="I250" s="153"/>
      <c r="J250" s="153"/>
      <c r="K250" s="153"/>
      <c r="L250" s="153"/>
      <c r="M250" s="153"/>
      <c r="N250" s="153"/>
      <c r="O250" s="153"/>
      <c r="P250" s="206"/>
    </row>
    <row r="251" spans="1:16" ht="12.75">
      <c r="A251" s="198"/>
      <c r="B251" s="202" t="s">
        <v>1437</v>
      </c>
      <c r="C251" s="218">
        <f>SUM(C242:C250)</f>
        <v>14700805.73</v>
      </c>
      <c r="D251" s="218">
        <f>SUM(D242:D250)</f>
        <v>7483114.54</v>
      </c>
      <c r="E251" s="218">
        <f>SUM(E242:E250)</f>
        <v>381705.24</v>
      </c>
      <c r="F251" s="218">
        <f>SUM(F242:F250)</f>
        <v>2818</v>
      </c>
      <c r="G251" s="218">
        <f>SUM(G242:G250)</f>
        <v>6835985.949999999</v>
      </c>
      <c r="H251" s="153"/>
      <c r="I251" s="153"/>
      <c r="J251" s="153"/>
      <c r="K251" s="153"/>
      <c r="L251" s="153"/>
      <c r="M251" s="153"/>
      <c r="N251" s="153"/>
      <c r="O251" s="153"/>
      <c r="P251" s="206"/>
    </row>
    <row r="252" spans="1:16" ht="12.75">
      <c r="A252" s="346" t="s">
        <v>1375</v>
      </c>
      <c r="B252" s="347"/>
      <c r="C252" s="347"/>
      <c r="D252" s="347"/>
      <c r="E252" s="347"/>
      <c r="F252" s="347"/>
      <c r="G252" s="347"/>
      <c r="H252" s="347"/>
      <c r="I252" s="347"/>
      <c r="J252" s="347"/>
      <c r="K252" s="347"/>
      <c r="L252" s="347"/>
      <c r="M252" s="347"/>
      <c r="N252" s="347"/>
      <c r="O252" s="347"/>
      <c r="P252" s="348"/>
    </row>
    <row r="253" spans="1:16" ht="25.5">
      <c r="A253" s="224">
        <v>183</v>
      </c>
      <c r="B253" s="215" t="s">
        <v>177</v>
      </c>
      <c r="C253" s="17">
        <f>D253+E253+G253+I253+K253</f>
        <v>3579324.55</v>
      </c>
      <c r="D253" s="216">
        <v>3266296.28</v>
      </c>
      <c r="E253" s="216">
        <v>313028.27</v>
      </c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06"/>
    </row>
    <row r="254" spans="1:16" ht="25.5">
      <c r="A254" s="224">
        <v>184</v>
      </c>
      <c r="B254" s="215" t="s">
        <v>1152</v>
      </c>
      <c r="C254" s="17">
        <f aca="true" t="shared" si="12" ref="C254:C317">D254+E254+G254+I254+K254</f>
        <v>182004.98</v>
      </c>
      <c r="D254" s="17">
        <v>182004.98</v>
      </c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06"/>
    </row>
    <row r="255" spans="1:16" ht="25.5">
      <c r="A255" s="224">
        <v>185</v>
      </c>
      <c r="B255" s="215" t="s">
        <v>70</v>
      </c>
      <c r="C255" s="17">
        <f t="shared" si="12"/>
        <v>10621638.87</v>
      </c>
      <c r="D255" s="17">
        <v>8701736.12</v>
      </c>
      <c r="E255" s="216">
        <v>1919902.75</v>
      </c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06"/>
    </row>
    <row r="256" spans="1:16" ht="25.5">
      <c r="A256" s="224">
        <v>186</v>
      </c>
      <c r="B256" s="215" t="s">
        <v>69</v>
      </c>
      <c r="C256" s="17">
        <f t="shared" si="12"/>
        <v>1024153.6</v>
      </c>
      <c r="D256" s="216"/>
      <c r="E256" s="216"/>
      <c r="F256" s="216">
        <v>1286.3</v>
      </c>
      <c r="G256" s="17">
        <v>1024153.6</v>
      </c>
      <c r="H256" s="216"/>
      <c r="I256" s="216"/>
      <c r="J256" s="216"/>
      <c r="K256" s="216"/>
      <c r="L256" s="216"/>
      <c r="M256" s="216"/>
      <c r="N256" s="216"/>
      <c r="O256" s="216"/>
      <c r="P256" s="206"/>
    </row>
    <row r="257" spans="1:16" ht="25.5">
      <c r="A257" s="224">
        <v>187</v>
      </c>
      <c r="B257" s="215" t="s">
        <v>961</v>
      </c>
      <c r="C257" s="17">
        <f t="shared" si="12"/>
        <v>1719711.2000000002</v>
      </c>
      <c r="D257" s="216">
        <v>1448366.33</v>
      </c>
      <c r="E257" s="216">
        <v>271344.87</v>
      </c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06"/>
    </row>
    <row r="258" spans="1:16" ht="25.5">
      <c r="A258" s="224">
        <v>188</v>
      </c>
      <c r="B258" s="215" t="s">
        <v>962</v>
      </c>
      <c r="C258" s="17">
        <f t="shared" si="12"/>
        <v>757694.27</v>
      </c>
      <c r="D258" s="17">
        <v>757694.27</v>
      </c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06"/>
    </row>
    <row r="259" spans="1:16" ht="25.5">
      <c r="A259" s="224">
        <v>189</v>
      </c>
      <c r="B259" s="215" t="s">
        <v>407</v>
      </c>
      <c r="C259" s="17">
        <f t="shared" si="12"/>
        <v>1508996.42</v>
      </c>
      <c r="D259" s="216">
        <v>1216671.98</v>
      </c>
      <c r="E259" s="216">
        <v>292324.44</v>
      </c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06"/>
    </row>
    <row r="260" spans="1:16" ht="25.5">
      <c r="A260" s="224">
        <v>190</v>
      </c>
      <c r="B260" s="215" t="s">
        <v>408</v>
      </c>
      <c r="C260" s="17">
        <f t="shared" si="12"/>
        <v>722119.61</v>
      </c>
      <c r="D260" s="17">
        <v>722119.61</v>
      </c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06"/>
    </row>
    <row r="261" spans="1:16" ht="25.5">
      <c r="A261" s="224">
        <v>191</v>
      </c>
      <c r="B261" s="215" t="s">
        <v>409</v>
      </c>
      <c r="C261" s="17">
        <f t="shared" si="12"/>
        <v>830885.74</v>
      </c>
      <c r="D261" s="17">
        <v>830885.74</v>
      </c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06"/>
    </row>
    <row r="262" spans="1:16" ht="25.5">
      <c r="A262" s="224">
        <v>192</v>
      </c>
      <c r="B262" s="215" t="s">
        <v>410</v>
      </c>
      <c r="C262" s="17">
        <f t="shared" si="12"/>
        <v>911071.49</v>
      </c>
      <c r="D262" s="17">
        <v>911071.49</v>
      </c>
      <c r="E262" s="216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06"/>
    </row>
    <row r="263" spans="1:16" ht="25.5">
      <c r="A263" s="224">
        <v>193</v>
      </c>
      <c r="B263" s="215" t="s">
        <v>411</v>
      </c>
      <c r="C263" s="17">
        <f t="shared" si="12"/>
        <v>628685.5</v>
      </c>
      <c r="D263" s="17">
        <v>628685.5</v>
      </c>
      <c r="E263" s="216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06"/>
    </row>
    <row r="264" spans="1:16" ht="25.5">
      <c r="A264" s="224">
        <v>194</v>
      </c>
      <c r="B264" s="215" t="s">
        <v>412</v>
      </c>
      <c r="C264" s="17">
        <f t="shared" si="12"/>
        <v>838779.96</v>
      </c>
      <c r="D264" s="17">
        <v>838779.96</v>
      </c>
      <c r="E264" s="216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06"/>
    </row>
    <row r="265" spans="1:16" ht="25.5">
      <c r="A265" s="224">
        <v>195</v>
      </c>
      <c r="B265" s="215" t="s">
        <v>413</v>
      </c>
      <c r="C265" s="17">
        <f t="shared" si="12"/>
        <v>649376.39</v>
      </c>
      <c r="D265" s="17">
        <v>649376.39</v>
      </c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06"/>
    </row>
    <row r="266" spans="1:16" ht="25.5">
      <c r="A266" s="224">
        <v>196</v>
      </c>
      <c r="B266" s="215" t="s">
        <v>963</v>
      </c>
      <c r="C266" s="17">
        <f t="shared" si="12"/>
        <v>1079169.81</v>
      </c>
      <c r="D266" s="216"/>
      <c r="E266" s="216"/>
      <c r="F266" s="216">
        <v>454</v>
      </c>
      <c r="G266" s="17">
        <v>1079169.81</v>
      </c>
      <c r="H266" s="216"/>
      <c r="I266" s="216"/>
      <c r="J266" s="216"/>
      <c r="K266" s="216"/>
      <c r="L266" s="216"/>
      <c r="M266" s="216"/>
      <c r="N266" s="216"/>
      <c r="O266" s="216"/>
      <c r="P266" s="206"/>
    </row>
    <row r="267" spans="1:16" ht="25.5">
      <c r="A267" s="224">
        <v>197</v>
      </c>
      <c r="B267" s="215" t="s">
        <v>416</v>
      </c>
      <c r="C267" s="17">
        <f t="shared" si="12"/>
        <v>4888246.529999999</v>
      </c>
      <c r="D267" s="216">
        <v>4525777.85</v>
      </c>
      <c r="E267" s="216">
        <v>362468.68</v>
      </c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06"/>
    </row>
    <row r="268" spans="1:16" ht="25.5">
      <c r="A268" s="224">
        <v>198</v>
      </c>
      <c r="B268" s="215" t="s">
        <v>418</v>
      </c>
      <c r="C268" s="17">
        <f t="shared" si="12"/>
        <v>4537197.57</v>
      </c>
      <c r="D268" s="216">
        <v>4173181.95</v>
      </c>
      <c r="E268" s="216">
        <v>364015.62</v>
      </c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06"/>
    </row>
    <row r="269" spans="1:16" ht="39.75" customHeight="1">
      <c r="A269" s="224">
        <v>199</v>
      </c>
      <c r="B269" s="215" t="s">
        <v>42</v>
      </c>
      <c r="C269" s="17">
        <f>D269+E269+G269+I269+K269+M269</f>
        <v>2667678.4</v>
      </c>
      <c r="D269" s="216">
        <v>1200975.9</v>
      </c>
      <c r="E269" s="216">
        <v>540866.75</v>
      </c>
      <c r="F269" s="216"/>
      <c r="G269" s="216"/>
      <c r="H269" s="216"/>
      <c r="I269" s="216"/>
      <c r="J269" s="216"/>
      <c r="K269" s="216"/>
      <c r="L269" s="216">
        <v>1992.35</v>
      </c>
      <c r="M269" s="216">
        <v>925835.75</v>
      </c>
      <c r="N269" s="216"/>
      <c r="O269" s="216"/>
      <c r="P269" s="206"/>
    </row>
    <row r="270" spans="1:16" ht="39.75" customHeight="1">
      <c r="A270" s="224">
        <v>200</v>
      </c>
      <c r="B270" s="215" t="s">
        <v>43</v>
      </c>
      <c r="C270" s="17">
        <f t="shared" si="12"/>
        <v>6059882.53</v>
      </c>
      <c r="D270" s="216">
        <v>4244094.2</v>
      </c>
      <c r="E270" s="216">
        <v>584987.03</v>
      </c>
      <c r="F270" s="216">
        <v>839.6</v>
      </c>
      <c r="G270" s="216">
        <v>1230801.3</v>
      </c>
      <c r="H270" s="216"/>
      <c r="I270" s="216"/>
      <c r="J270" s="216"/>
      <c r="K270" s="216"/>
      <c r="L270" s="216"/>
      <c r="M270" s="216"/>
      <c r="N270" s="216"/>
      <c r="O270" s="216"/>
      <c r="P270" s="206"/>
    </row>
    <row r="271" spans="1:16" ht="25.5">
      <c r="A271" s="224">
        <v>201</v>
      </c>
      <c r="B271" s="215" t="s">
        <v>964</v>
      </c>
      <c r="C271" s="17">
        <f t="shared" si="12"/>
        <v>5389015.85</v>
      </c>
      <c r="D271" s="216">
        <v>5085952.97</v>
      </c>
      <c r="E271" s="216">
        <v>303062.88</v>
      </c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06"/>
    </row>
    <row r="272" spans="1:16" ht="25.5">
      <c r="A272" s="224">
        <v>202</v>
      </c>
      <c r="B272" s="215" t="s">
        <v>965</v>
      </c>
      <c r="C272" s="17">
        <f t="shared" si="12"/>
        <v>940592.49</v>
      </c>
      <c r="D272" s="17">
        <v>940592.49</v>
      </c>
      <c r="E272" s="216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06"/>
    </row>
    <row r="273" spans="1:16" ht="25.5">
      <c r="A273" s="224">
        <v>203</v>
      </c>
      <c r="B273" s="215" t="s">
        <v>155</v>
      </c>
      <c r="C273" s="17">
        <f t="shared" si="12"/>
        <v>2144473.5</v>
      </c>
      <c r="D273" s="17">
        <v>2144473.5</v>
      </c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06"/>
    </row>
    <row r="274" spans="1:16" ht="25.5">
      <c r="A274" s="224">
        <v>204</v>
      </c>
      <c r="B274" s="215" t="s">
        <v>156</v>
      </c>
      <c r="C274" s="17">
        <f t="shared" si="12"/>
        <v>3132650.2199999997</v>
      </c>
      <c r="D274" s="216">
        <v>760152.74</v>
      </c>
      <c r="E274" s="216"/>
      <c r="F274" s="216">
        <v>1070</v>
      </c>
      <c r="G274" s="216">
        <v>2372497.48</v>
      </c>
      <c r="H274" s="216"/>
      <c r="I274" s="216"/>
      <c r="J274" s="216"/>
      <c r="K274" s="216"/>
      <c r="L274" s="216"/>
      <c r="M274" s="216"/>
      <c r="N274" s="216"/>
      <c r="O274" s="216"/>
      <c r="P274" s="206"/>
    </row>
    <row r="275" spans="1:16" ht="25.5">
      <c r="A275" s="224">
        <v>205</v>
      </c>
      <c r="B275" s="215" t="s">
        <v>157</v>
      </c>
      <c r="C275" s="17">
        <f t="shared" si="12"/>
        <v>363891.3</v>
      </c>
      <c r="D275" s="17">
        <v>363891.3</v>
      </c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06"/>
    </row>
    <row r="276" spans="1:16" ht="25.5">
      <c r="A276" s="224">
        <v>206</v>
      </c>
      <c r="B276" s="215" t="s">
        <v>158</v>
      </c>
      <c r="C276" s="17">
        <f t="shared" si="12"/>
        <v>3789290.87</v>
      </c>
      <c r="D276" s="216">
        <v>2165604.66</v>
      </c>
      <c r="E276" s="216">
        <v>198724.67</v>
      </c>
      <c r="F276" s="216">
        <v>566</v>
      </c>
      <c r="G276" s="216">
        <v>1424961.54</v>
      </c>
      <c r="H276" s="216"/>
      <c r="I276" s="216"/>
      <c r="J276" s="216"/>
      <c r="K276" s="216"/>
      <c r="L276" s="216"/>
      <c r="M276" s="216"/>
      <c r="N276" s="216"/>
      <c r="O276" s="216"/>
      <c r="P276" s="206"/>
    </row>
    <row r="277" spans="1:16" ht="25.5">
      <c r="A277" s="224">
        <v>207</v>
      </c>
      <c r="B277" s="215" t="s">
        <v>159</v>
      </c>
      <c r="C277" s="17">
        <f t="shared" si="12"/>
        <v>2190160.47</v>
      </c>
      <c r="D277" s="17">
        <v>2190160.47</v>
      </c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06"/>
    </row>
    <row r="278" spans="1:16" ht="25.5">
      <c r="A278" s="224">
        <v>208</v>
      </c>
      <c r="B278" s="215" t="s">
        <v>160</v>
      </c>
      <c r="C278" s="17">
        <f t="shared" si="12"/>
        <v>3205827.37</v>
      </c>
      <c r="D278" s="216">
        <v>1562537.81</v>
      </c>
      <c r="E278" s="216">
        <v>259170.98</v>
      </c>
      <c r="F278" s="216">
        <v>550</v>
      </c>
      <c r="G278" s="216">
        <v>1384118.58</v>
      </c>
      <c r="H278" s="216"/>
      <c r="I278" s="216"/>
      <c r="J278" s="216"/>
      <c r="K278" s="216"/>
      <c r="L278" s="216"/>
      <c r="M278" s="216"/>
      <c r="N278" s="216"/>
      <c r="O278" s="216"/>
      <c r="P278" s="206"/>
    </row>
    <row r="279" spans="1:16" ht="25.5">
      <c r="A279" s="224">
        <v>209</v>
      </c>
      <c r="B279" s="215" t="s">
        <v>161</v>
      </c>
      <c r="C279" s="17">
        <f t="shared" si="12"/>
        <v>1070715.9</v>
      </c>
      <c r="D279" s="17">
        <v>1070715.9</v>
      </c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06"/>
    </row>
    <row r="280" spans="1:16" ht="25.5">
      <c r="A280" s="224">
        <v>210</v>
      </c>
      <c r="B280" s="215" t="s">
        <v>162</v>
      </c>
      <c r="C280" s="17">
        <f t="shared" si="12"/>
        <v>4584405.35</v>
      </c>
      <c r="D280" s="216">
        <v>1560626.41</v>
      </c>
      <c r="E280" s="216"/>
      <c r="F280" s="216">
        <v>1202</v>
      </c>
      <c r="G280" s="216">
        <v>3023778.94</v>
      </c>
      <c r="H280" s="216"/>
      <c r="I280" s="216"/>
      <c r="J280" s="216"/>
      <c r="K280" s="216"/>
      <c r="L280" s="216"/>
      <c r="M280" s="216"/>
      <c r="N280" s="216"/>
      <c r="O280" s="216"/>
      <c r="P280" s="206"/>
    </row>
    <row r="281" spans="1:16" ht="25.5">
      <c r="A281" s="224">
        <v>211</v>
      </c>
      <c r="B281" s="215" t="s">
        <v>163</v>
      </c>
      <c r="C281" s="17">
        <f t="shared" si="12"/>
        <v>5808361.220000001</v>
      </c>
      <c r="D281" s="216">
        <v>3374606.5</v>
      </c>
      <c r="E281" s="216"/>
      <c r="F281" s="216">
        <v>1065</v>
      </c>
      <c r="G281" s="216">
        <v>2433754.72</v>
      </c>
      <c r="H281" s="216"/>
      <c r="I281" s="216"/>
      <c r="J281" s="216"/>
      <c r="K281" s="216"/>
      <c r="L281" s="216"/>
      <c r="M281" s="216"/>
      <c r="N281" s="216"/>
      <c r="O281" s="216"/>
      <c r="P281" s="206"/>
    </row>
    <row r="282" spans="1:16" ht="25.5">
      <c r="A282" s="224">
        <v>212</v>
      </c>
      <c r="B282" s="215" t="s">
        <v>842</v>
      </c>
      <c r="C282" s="17">
        <f t="shared" si="12"/>
        <v>6150845.92</v>
      </c>
      <c r="D282" s="216">
        <v>3378447.9</v>
      </c>
      <c r="E282" s="216">
        <v>298353.49</v>
      </c>
      <c r="F282" s="216">
        <v>982.7</v>
      </c>
      <c r="G282" s="216">
        <v>2474044.53</v>
      </c>
      <c r="H282" s="216"/>
      <c r="I282" s="216"/>
      <c r="J282" s="216"/>
      <c r="K282" s="216"/>
      <c r="L282" s="216"/>
      <c r="M282" s="216"/>
      <c r="N282" s="216"/>
      <c r="O282" s="216"/>
      <c r="P282" s="206"/>
    </row>
    <row r="283" spans="1:16" ht="25.5">
      <c r="A283" s="224">
        <v>213</v>
      </c>
      <c r="B283" s="215" t="s">
        <v>1213</v>
      </c>
      <c r="C283" s="17">
        <f t="shared" si="12"/>
        <v>1187898.79</v>
      </c>
      <c r="D283" s="17">
        <v>1187898.79</v>
      </c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06"/>
    </row>
    <row r="284" spans="1:16" ht="25.5">
      <c r="A284" s="224">
        <v>214</v>
      </c>
      <c r="B284" s="215" t="s">
        <v>1212</v>
      </c>
      <c r="C284" s="17">
        <f t="shared" si="12"/>
        <v>11522063.35</v>
      </c>
      <c r="D284" s="216">
        <v>5506769.79</v>
      </c>
      <c r="E284" s="216">
        <v>540405.54</v>
      </c>
      <c r="F284" s="216">
        <v>2222</v>
      </c>
      <c r="G284" s="216">
        <v>5474888.02</v>
      </c>
      <c r="H284" s="216"/>
      <c r="I284" s="216"/>
      <c r="J284" s="216"/>
      <c r="K284" s="216"/>
      <c r="L284" s="216"/>
      <c r="M284" s="216"/>
      <c r="N284" s="216"/>
      <c r="O284" s="216"/>
      <c r="P284" s="206"/>
    </row>
    <row r="285" spans="1:16" ht="38.25">
      <c r="A285" s="224">
        <v>215</v>
      </c>
      <c r="B285" s="215" t="s">
        <v>546</v>
      </c>
      <c r="C285" s="17">
        <f t="shared" si="12"/>
        <v>2859455.34</v>
      </c>
      <c r="D285" s="216">
        <v>676106.34</v>
      </c>
      <c r="E285" s="216">
        <v>600639.23</v>
      </c>
      <c r="F285" s="216">
        <v>1069</v>
      </c>
      <c r="G285" s="216">
        <v>1582709.77</v>
      </c>
      <c r="H285" s="216"/>
      <c r="I285" s="216"/>
      <c r="J285" s="216"/>
      <c r="K285" s="216"/>
      <c r="L285" s="216"/>
      <c r="M285" s="216"/>
      <c r="N285" s="216"/>
      <c r="O285" s="216"/>
      <c r="P285" s="206"/>
    </row>
    <row r="286" spans="1:16" ht="25.5">
      <c r="A286" s="224">
        <v>216</v>
      </c>
      <c r="B286" s="215" t="s">
        <v>1214</v>
      </c>
      <c r="C286" s="17">
        <f t="shared" si="12"/>
        <v>966903.83</v>
      </c>
      <c r="D286" s="216"/>
      <c r="E286" s="216"/>
      <c r="F286" s="216">
        <v>738</v>
      </c>
      <c r="G286" s="17">
        <v>966903.83</v>
      </c>
      <c r="H286" s="216"/>
      <c r="I286" s="216"/>
      <c r="J286" s="216"/>
      <c r="K286" s="216"/>
      <c r="L286" s="216"/>
      <c r="M286" s="216"/>
      <c r="N286" s="216"/>
      <c r="O286" s="216"/>
      <c r="P286" s="206"/>
    </row>
    <row r="287" spans="1:16" ht="25.5">
      <c r="A287" s="224">
        <v>217</v>
      </c>
      <c r="B287" s="215" t="s">
        <v>1302</v>
      </c>
      <c r="C287" s="17">
        <f t="shared" si="12"/>
        <v>371458.99</v>
      </c>
      <c r="D287" s="17">
        <v>371458.99</v>
      </c>
      <c r="E287" s="216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06"/>
    </row>
    <row r="288" spans="1:16" ht="25.5">
      <c r="A288" s="224">
        <v>218</v>
      </c>
      <c r="B288" s="215" t="s">
        <v>1303</v>
      </c>
      <c r="C288" s="17">
        <f t="shared" si="12"/>
        <v>1601956.44</v>
      </c>
      <c r="D288" s="216">
        <v>367377.41</v>
      </c>
      <c r="E288" s="216"/>
      <c r="F288" s="216">
        <v>507.8</v>
      </c>
      <c r="G288" s="216">
        <v>1234579.03</v>
      </c>
      <c r="H288" s="216"/>
      <c r="I288" s="216"/>
      <c r="J288" s="216"/>
      <c r="K288" s="216"/>
      <c r="L288" s="216"/>
      <c r="M288" s="216"/>
      <c r="N288" s="216"/>
      <c r="O288" s="216"/>
      <c r="P288" s="206"/>
    </row>
    <row r="289" spans="1:16" ht="25.5">
      <c r="A289" s="224">
        <v>219</v>
      </c>
      <c r="B289" s="215" t="s">
        <v>1304</v>
      </c>
      <c r="C289" s="17">
        <f t="shared" si="12"/>
        <v>869033.99</v>
      </c>
      <c r="D289" s="216">
        <v>214457.99</v>
      </c>
      <c r="E289" s="216"/>
      <c r="F289" s="216">
        <v>260</v>
      </c>
      <c r="G289" s="216">
        <v>654576</v>
      </c>
      <c r="H289" s="216"/>
      <c r="I289" s="216"/>
      <c r="J289" s="216"/>
      <c r="K289" s="216"/>
      <c r="L289" s="216"/>
      <c r="M289" s="216"/>
      <c r="N289" s="216"/>
      <c r="O289" s="216"/>
      <c r="P289" s="206"/>
    </row>
    <row r="290" spans="1:16" ht="25.5">
      <c r="A290" s="224">
        <v>220</v>
      </c>
      <c r="B290" s="215" t="s">
        <v>1305</v>
      </c>
      <c r="C290" s="17">
        <f t="shared" si="12"/>
        <v>156230.23</v>
      </c>
      <c r="D290" s="17">
        <v>156230.23</v>
      </c>
      <c r="E290" s="216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06"/>
    </row>
    <row r="291" spans="1:16" ht="25.5">
      <c r="A291" s="224">
        <v>221</v>
      </c>
      <c r="B291" s="215" t="s">
        <v>1306</v>
      </c>
      <c r="C291" s="17">
        <f t="shared" si="12"/>
        <v>138696.04</v>
      </c>
      <c r="D291" s="17">
        <v>138696.04</v>
      </c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06"/>
    </row>
    <row r="292" spans="1:16" ht="25.5">
      <c r="A292" s="224">
        <v>222</v>
      </c>
      <c r="B292" s="215" t="s">
        <v>1307</v>
      </c>
      <c r="C292" s="17">
        <f t="shared" si="12"/>
        <v>627729.08</v>
      </c>
      <c r="D292" s="216"/>
      <c r="E292" s="216"/>
      <c r="F292" s="216">
        <v>260</v>
      </c>
      <c r="G292" s="17">
        <v>627729.08</v>
      </c>
      <c r="H292" s="216"/>
      <c r="I292" s="216"/>
      <c r="J292" s="216"/>
      <c r="K292" s="216"/>
      <c r="L292" s="216"/>
      <c r="M292" s="216"/>
      <c r="N292" s="216"/>
      <c r="O292" s="216"/>
      <c r="P292" s="206"/>
    </row>
    <row r="293" spans="1:16" ht="38.25">
      <c r="A293" s="224">
        <v>223</v>
      </c>
      <c r="B293" s="215" t="s">
        <v>1308</v>
      </c>
      <c r="C293" s="17">
        <f t="shared" si="12"/>
        <v>1750504.36</v>
      </c>
      <c r="D293" s="216">
        <v>235803.59</v>
      </c>
      <c r="E293" s="216"/>
      <c r="F293" s="216">
        <v>631</v>
      </c>
      <c r="G293" s="216">
        <v>1514700.77</v>
      </c>
      <c r="H293" s="216"/>
      <c r="I293" s="216"/>
      <c r="J293" s="216"/>
      <c r="K293" s="216"/>
      <c r="L293" s="216"/>
      <c r="M293" s="216"/>
      <c r="N293" s="216"/>
      <c r="O293" s="216"/>
      <c r="P293" s="206"/>
    </row>
    <row r="294" spans="1:16" ht="25.5">
      <c r="A294" s="224">
        <v>224</v>
      </c>
      <c r="B294" s="215" t="s">
        <v>231</v>
      </c>
      <c r="C294" s="17">
        <f t="shared" si="12"/>
        <v>2839847.57</v>
      </c>
      <c r="D294" s="216">
        <v>2554929.92</v>
      </c>
      <c r="E294" s="216">
        <v>284917.65</v>
      </c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06"/>
    </row>
    <row r="295" spans="1:16" ht="25.5">
      <c r="A295" s="224">
        <v>225</v>
      </c>
      <c r="B295" s="215" t="s">
        <v>1215</v>
      </c>
      <c r="C295" s="17">
        <f t="shared" si="12"/>
        <v>4018188.5</v>
      </c>
      <c r="D295" s="17">
        <v>4018188.5</v>
      </c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06"/>
    </row>
    <row r="296" spans="1:16" ht="25.5">
      <c r="A296" s="224">
        <v>226</v>
      </c>
      <c r="B296" s="215" t="s">
        <v>1216</v>
      </c>
      <c r="C296" s="17">
        <f t="shared" si="12"/>
        <v>1016818.28</v>
      </c>
      <c r="D296" s="17">
        <v>1016818.28</v>
      </c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06"/>
    </row>
    <row r="297" spans="1:16" ht="25.5">
      <c r="A297" s="224">
        <v>227</v>
      </c>
      <c r="B297" s="215" t="s">
        <v>1387</v>
      </c>
      <c r="C297" s="17">
        <f t="shared" si="12"/>
        <v>7241824.22</v>
      </c>
      <c r="D297" s="17">
        <v>7241824.22</v>
      </c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06"/>
    </row>
    <row r="298" spans="1:16" ht="25.5">
      <c r="A298" s="224">
        <v>228</v>
      </c>
      <c r="B298" s="215" t="s">
        <v>1388</v>
      </c>
      <c r="C298" s="17">
        <f t="shared" si="12"/>
        <v>2097123.04</v>
      </c>
      <c r="D298" s="216"/>
      <c r="E298" s="216"/>
      <c r="F298" s="216">
        <v>1347.5</v>
      </c>
      <c r="G298" s="17">
        <v>2097123.04</v>
      </c>
      <c r="H298" s="216"/>
      <c r="I298" s="216"/>
      <c r="J298" s="216"/>
      <c r="K298" s="216"/>
      <c r="L298" s="216"/>
      <c r="M298" s="216"/>
      <c r="N298" s="216"/>
      <c r="O298" s="216"/>
      <c r="P298" s="206"/>
    </row>
    <row r="299" spans="1:16" ht="25.5">
      <c r="A299" s="224">
        <v>229</v>
      </c>
      <c r="B299" s="215" t="s">
        <v>1389</v>
      </c>
      <c r="C299" s="17">
        <f t="shared" si="12"/>
        <v>8881605.06</v>
      </c>
      <c r="D299" s="216">
        <v>4971282.37</v>
      </c>
      <c r="E299" s="216"/>
      <c r="F299" s="216">
        <v>1638</v>
      </c>
      <c r="G299" s="216">
        <v>3910322.69</v>
      </c>
      <c r="H299" s="216"/>
      <c r="I299" s="216"/>
      <c r="J299" s="216"/>
      <c r="K299" s="216"/>
      <c r="L299" s="216"/>
      <c r="M299" s="216"/>
      <c r="N299" s="216"/>
      <c r="O299" s="216"/>
      <c r="P299" s="206"/>
    </row>
    <row r="300" spans="1:16" ht="25.5">
      <c r="A300" s="224">
        <v>230</v>
      </c>
      <c r="B300" s="215" t="s">
        <v>1390</v>
      </c>
      <c r="C300" s="17">
        <f t="shared" si="12"/>
        <v>5133160.3</v>
      </c>
      <c r="D300" s="216">
        <v>3242494.25</v>
      </c>
      <c r="E300" s="216">
        <v>504883.41</v>
      </c>
      <c r="F300" s="216">
        <v>1062</v>
      </c>
      <c r="G300" s="216">
        <v>1385782.64</v>
      </c>
      <c r="H300" s="216"/>
      <c r="I300" s="216"/>
      <c r="J300" s="216"/>
      <c r="K300" s="216"/>
      <c r="L300" s="216"/>
      <c r="M300" s="216"/>
      <c r="N300" s="216"/>
      <c r="O300" s="216"/>
      <c r="P300" s="206"/>
    </row>
    <row r="301" spans="1:16" ht="25.5">
      <c r="A301" s="224">
        <v>231</v>
      </c>
      <c r="B301" s="215" t="s">
        <v>1391</v>
      </c>
      <c r="C301" s="17">
        <f t="shared" si="12"/>
        <v>3077631.96</v>
      </c>
      <c r="D301" s="216">
        <v>1267090.29</v>
      </c>
      <c r="E301" s="216">
        <v>286999.84</v>
      </c>
      <c r="F301" s="216">
        <v>608</v>
      </c>
      <c r="G301" s="216">
        <v>1523541.83</v>
      </c>
      <c r="H301" s="216"/>
      <c r="I301" s="216"/>
      <c r="J301" s="216"/>
      <c r="K301" s="216"/>
      <c r="L301" s="216"/>
      <c r="M301" s="216"/>
      <c r="N301" s="216"/>
      <c r="O301" s="216"/>
      <c r="P301" s="206"/>
    </row>
    <row r="302" spans="1:16" ht="25.5">
      <c r="A302" s="224">
        <v>232</v>
      </c>
      <c r="B302" s="215" t="s">
        <v>232</v>
      </c>
      <c r="C302" s="17">
        <f t="shared" si="12"/>
        <v>704194.16</v>
      </c>
      <c r="D302" s="17">
        <v>704194.16</v>
      </c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06"/>
    </row>
    <row r="303" spans="1:16" ht="25.5">
      <c r="A303" s="224">
        <v>233</v>
      </c>
      <c r="B303" s="215" t="s">
        <v>233</v>
      </c>
      <c r="C303" s="17">
        <f t="shared" si="12"/>
        <v>4600133.51</v>
      </c>
      <c r="D303" s="216">
        <v>4292830.62</v>
      </c>
      <c r="E303" s="216">
        <v>307302.89</v>
      </c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06"/>
    </row>
    <row r="304" spans="1:16" ht="25.5">
      <c r="A304" s="224">
        <v>234</v>
      </c>
      <c r="B304" s="215" t="s">
        <v>234</v>
      </c>
      <c r="C304" s="17">
        <f t="shared" si="12"/>
        <v>2411842.97</v>
      </c>
      <c r="D304" s="216">
        <v>2050240.77</v>
      </c>
      <c r="E304" s="216">
        <v>361602.2</v>
      </c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06"/>
    </row>
    <row r="305" spans="1:16" ht="25.5">
      <c r="A305" s="224">
        <v>235</v>
      </c>
      <c r="B305" s="215" t="s">
        <v>235</v>
      </c>
      <c r="C305" s="17">
        <f t="shared" si="12"/>
        <v>960026.85</v>
      </c>
      <c r="D305" s="216">
        <v>691820.46</v>
      </c>
      <c r="E305" s="216">
        <v>268206.39</v>
      </c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06"/>
    </row>
    <row r="306" spans="1:16" ht="25.5">
      <c r="A306" s="224">
        <v>236</v>
      </c>
      <c r="B306" s="215" t="s">
        <v>236</v>
      </c>
      <c r="C306" s="17">
        <f t="shared" si="12"/>
        <v>6487116.090000001</v>
      </c>
      <c r="D306" s="216">
        <v>1262431.11</v>
      </c>
      <c r="E306" s="216">
        <v>309900</v>
      </c>
      <c r="F306" s="216"/>
      <c r="G306" s="216"/>
      <c r="H306" s="216"/>
      <c r="I306" s="216"/>
      <c r="J306" s="216">
        <v>570</v>
      </c>
      <c r="K306" s="216">
        <v>4914784.98</v>
      </c>
      <c r="L306" s="216"/>
      <c r="M306" s="216"/>
      <c r="N306" s="216"/>
      <c r="O306" s="216"/>
      <c r="P306" s="206"/>
    </row>
    <row r="307" spans="1:16" ht="25.5">
      <c r="A307" s="224">
        <v>237</v>
      </c>
      <c r="B307" s="215" t="s">
        <v>590</v>
      </c>
      <c r="C307" s="17">
        <f t="shared" si="12"/>
        <v>4302186.2</v>
      </c>
      <c r="D307" s="17">
        <v>4302186.2</v>
      </c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06"/>
    </row>
    <row r="308" spans="1:16" ht="25.5">
      <c r="A308" s="224">
        <v>238</v>
      </c>
      <c r="B308" s="215" t="s">
        <v>591</v>
      </c>
      <c r="C308" s="17">
        <f t="shared" si="12"/>
        <v>848286.8400000001</v>
      </c>
      <c r="D308" s="216">
        <v>577710.01</v>
      </c>
      <c r="E308" s="216">
        <v>270576.83</v>
      </c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06"/>
    </row>
    <row r="309" spans="1:16" ht="25.5">
      <c r="A309" s="224">
        <v>239</v>
      </c>
      <c r="B309" s="215" t="s">
        <v>592</v>
      </c>
      <c r="C309" s="17">
        <f t="shared" si="12"/>
        <v>2458219.6500000004</v>
      </c>
      <c r="D309" s="216">
        <v>2185870.89</v>
      </c>
      <c r="E309" s="216">
        <v>272348.76</v>
      </c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06"/>
    </row>
    <row r="310" spans="1:16" ht="25.5">
      <c r="A310" s="224">
        <v>240</v>
      </c>
      <c r="B310" s="215" t="s">
        <v>1311</v>
      </c>
      <c r="C310" s="17">
        <f t="shared" si="12"/>
        <v>1507284.83</v>
      </c>
      <c r="D310" s="216">
        <v>1214890.81</v>
      </c>
      <c r="E310" s="216">
        <v>292394.02</v>
      </c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06"/>
    </row>
    <row r="311" spans="1:16" ht="25.5">
      <c r="A311" s="224">
        <v>241</v>
      </c>
      <c r="B311" s="215" t="s">
        <v>1616</v>
      </c>
      <c r="C311" s="17">
        <f t="shared" si="12"/>
        <v>877470.17</v>
      </c>
      <c r="D311" s="17">
        <v>877470.17</v>
      </c>
      <c r="E311" s="216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06"/>
    </row>
    <row r="312" spans="1:16" ht="25.5">
      <c r="A312" s="224">
        <v>242</v>
      </c>
      <c r="B312" s="215" t="s">
        <v>1392</v>
      </c>
      <c r="C312" s="17">
        <f t="shared" si="12"/>
        <v>748737.41</v>
      </c>
      <c r="D312" s="17">
        <v>748737.41</v>
      </c>
      <c r="E312" s="216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06"/>
    </row>
    <row r="313" spans="1:16" ht="25.5">
      <c r="A313" s="224">
        <v>243</v>
      </c>
      <c r="B313" s="215" t="s">
        <v>1393</v>
      </c>
      <c r="C313" s="17">
        <f t="shared" si="12"/>
        <v>1268449.17</v>
      </c>
      <c r="D313" s="17">
        <v>1268449.17</v>
      </c>
      <c r="E313" s="216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06"/>
    </row>
    <row r="314" spans="1:16" ht="38.25">
      <c r="A314" s="224">
        <v>244</v>
      </c>
      <c r="B314" s="215" t="s">
        <v>593</v>
      </c>
      <c r="C314" s="17">
        <f t="shared" si="12"/>
        <v>1236189.33</v>
      </c>
      <c r="D314" s="216"/>
      <c r="E314" s="216"/>
      <c r="F314" s="216">
        <v>497</v>
      </c>
      <c r="G314" s="17">
        <v>1236189.33</v>
      </c>
      <c r="H314" s="216"/>
      <c r="I314" s="216"/>
      <c r="J314" s="216"/>
      <c r="K314" s="216"/>
      <c r="L314" s="216"/>
      <c r="M314" s="216"/>
      <c r="N314" s="216"/>
      <c r="O314" s="216"/>
      <c r="P314" s="206"/>
    </row>
    <row r="315" spans="1:16" ht="38.25">
      <c r="A315" s="224">
        <v>245</v>
      </c>
      <c r="B315" s="215" t="s">
        <v>594</v>
      </c>
      <c r="C315" s="17">
        <f t="shared" si="12"/>
        <v>616182.65</v>
      </c>
      <c r="D315" s="17">
        <v>616182.65</v>
      </c>
      <c r="E315" s="216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06"/>
    </row>
    <row r="316" spans="1:16" ht="38.25">
      <c r="A316" s="224">
        <v>246</v>
      </c>
      <c r="B316" s="215" t="s">
        <v>595</v>
      </c>
      <c r="C316" s="17">
        <f t="shared" si="12"/>
        <v>2695339.91</v>
      </c>
      <c r="D316" s="216">
        <v>1171948.94</v>
      </c>
      <c r="E316" s="216"/>
      <c r="F316" s="216">
        <v>609</v>
      </c>
      <c r="G316" s="216">
        <v>1523390.97</v>
      </c>
      <c r="H316" s="216"/>
      <c r="I316" s="216"/>
      <c r="J316" s="216"/>
      <c r="K316" s="216"/>
      <c r="L316" s="216"/>
      <c r="M316" s="216"/>
      <c r="N316" s="216"/>
      <c r="O316" s="216"/>
      <c r="P316" s="206"/>
    </row>
    <row r="317" spans="1:16" ht="52.5" customHeight="1">
      <c r="A317" s="224">
        <v>247</v>
      </c>
      <c r="B317" s="215" t="s">
        <v>626</v>
      </c>
      <c r="C317" s="17">
        <f t="shared" si="12"/>
        <v>9453109.31</v>
      </c>
      <c r="D317" s="216">
        <v>8896675.92</v>
      </c>
      <c r="E317" s="216">
        <v>556433.39</v>
      </c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06"/>
    </row>
    <row r="318" spans="1:16" ht="38.25">
      <c r="A318" s="224">
        <v>248</v>
      </c>
      <c r="B318" s="215" t="s">
        <v>596</v>
      </c>
      <c r="C318" s="17">
        <f aca="true" t="shared" si="13" ref="C318:C381">D318+E318+G318+I318+K318</f>
        <v>3264435.2399999998</v>
      </c>
      <c r="D318" s="216">
        <v>2979194.36</v>
      </c>
      <c r="E318" s="216">
        <v>285240.88</v>
      </c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06"/>
    </row>
    <row r="319" spans="1:16" ht="38.25">
      <c r="A319" s="224">
        <v>249</v>
      </c>
      <c r="B319" s="215" t="s">
        <v>625</v>
      </c>
      <c r="C319" s="17">
        <f t="shared" si="13"/>
        <v>2986607.62</v>
      </c>
      <c r="D319" s="216">
        <v>2712739.38</v>
      </c>
      <c r="E319" s="216">
        <v>273868.24</v>
      </c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06"/>
    </row>
    <row r="320" spans="1:16" ht="25.5">
      <c r="A320" s="224">
        <v>250</v>
      </c>
      <c r="B320" s="215" t="s">
        <v>552</v>
      </c>
      <c r="C320" s="17">
        <f t="shared" si="13"/>
        <v>1526628.5499999998</v>
      </c>
      <c r="D320" s="17">
        <v>1526628.5499999998</v>
      </c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06"/>
    </row>
    <row r="321" spans="1:16" ht="25.5">
      <c r="A321" s="224">
        <v>251</v>
      </c>
      <c r="B321" s="215" t="s">
        <v>1394</v>
      </c>
      <c r="C321" s="17">
        <f t="shared" si="13"/>
        <v>794758.37</v>
      </c>
      <c r="D321" s="17">
        <v>794758.37</v>
      </c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06"/>
    </row>
    <row r="322" spans="1:16" ht="38.25">
      <c r="A322" s="224">
        <v>252</v>
      </c>
      <c r="B322" s="215" t="s">
        <v>1309</v>
      </c>
      <c r="C322" s="17">
        <f t="shared" si="13"/>
        <v>15368623.430000002</v>
      </c>
      <c r="D322" s="216">
        <v>10303875.55</v>
      </c>
      <c r="E322" s="216">
        <v>2430708.97</v>
      </c>
      <c r="F322" s="216">
        <v>1881</v>
      </c>
      <c r="G322" s="216">
        <v>2634038.91</v>
      </c>
      <c r="H322" s="216"/>
      <c r="I322" s="216"/>
      <c r="J322" s="216"/>
      <c r="K322" s="216"/>
      <c r="L322" s="216"/>
      <c r="M322" s="216"/>
      <c r="N322" s="216"/>
      <c r="O322" s="216"/>
      <c r="P322" s="206"/>
    </row>
    <row r="323" spans="1:16" ht="25.5">
      <c r="A323" s="224">
        <v>253</v>
      </c>
      <c r="B323" s="215" t="s">
        <v>1395</v>
      </c>
      <c r="C323" s="17">
        <f t="shared" si="13"/>
        <v>1170763.53</v>
      </c>
      <c r="D323" s="17">
        <v>1170763.53</v>
      </c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06"/>
    </row>
    <row r="324" spans="1:16" ht="25.5">
      <c r="A324" s="224">
        <v>254</v>
      </c>
      <c r="B324" s="215" t="s">
        <v>1411</v>
      </c>
      <c r="C324" s="17">
        <f t="shared" si="13"/>
        <v>3243962.1199999996</v>
      </c>
      <c r="D324" s="216">
        <v>2369258.01</v>
      </c>
      <c r="E324" s="216">
        <v>301507.32</v>
      </c>
      <c r="F324" s="216">
        <v>433</v>
      </c>
      <c r="G324" s="216">
        <v>573196.79</v>
      </c>
      <c r="H324" s="216"/>
      <c r="I324" s="216"/>
      <c r="J324" s="216"/>
      <c r="K324" s="216"/>
      <c r="L324" s="216"/>
      <c r="M324" s="216"/>
      <c r="N324" s="216"/>
      <c r="O324" s="216"/>
      <c r="P324" s="206"/>
    </row>
    <row r="325" spans="1:16" ht="25.5">
      <c r="A325" s="224">
        <v>255</v>
      </c>
      <c r="B325" s="215" t="s">
        <v>1412</v>
      </c>
      <c r="C325" s="17">
        <f t="shared" si="13"/>
        <v>3269486</v>
      </c>
      <c r="D325" s="216">
        <v>938137.99</v>
      </c>
      <c r="E325" s="216"/>
      <c r="F325" s="216">
        <v>962</v>
      </c>
      <c r="G325" s="216">
        <v>2062653.26</v>
      </c>
      <c r="H325" s="216"/>
      <c r="I325" s="216"/>
      <c r="J325" s="216">
        <v>489.25</v>
      </c>
      <c r="K325" s="216">
        <v>268694.75</v>
      </c>
      <c r="L325" s="216"/>
      <c r="M325" s="216"/>
      <c r="N325" s="216"/>
      <c r="O325" s="216"/>
      <c r="P325" s="206"/>
    </row>
    <row r="326" spans="1:16" ht="25.5">
      <c r="A326" s="224">
        <v>256</v>
      </c>
      <c r="B326" s="215" t="s">
        <v>1413</v>
      </c>
      <c r="C326" s="17">
        <f t="shared" si="13"/>
        <v>3750891.08</v>
      </c>
      <c r="D326" s="216">
        <v>3437448</v>
      </c>
      <c r="E326" s="216">
        <v>313443.08</v>
      </c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06"/>
    </row>
    <row r="327" spans="1:16" ht="25.5">
      <c r="A327" s="224">
        <v>257</v>
      </c>
      <c r="B327" s="215" t="s">
        <v>1414</v>
      </c>
      <c r="C327" s="17">
        <f t="shared" si="13"/>
        <v>1626524.4</v>
      </c>
      <c r="D327" s="216"/>
      <c r="E327" s="216"/>
      <c r="F327" s="216">
        <v>703</v>
      </c>
      <c r="G327" s="17">
        <v>1626524.4</v>
      </c>
      <c r="H327" s="216"/>
      <c r="I327" s="216"/>
      <c r="J327" s="216"/>
      <c r="K327" s="216"/>
      <c r="L327" s="216"/>
      <c r="M327" s="216"/>
      <c r="N327" s="216"/>
      <c r="O327" s="216"/>
      <c r="P327" s="206"/>
    </row>
    <row r="328" spans="1:16" ht="25.5">
      <c r="A328" s="224">
        <v>258</v>
      </c>
      <c r="B328" s="215" t="s">
        <v>1415</v>
      </c>
      <c r="C328" s="17">
        <f t="shared" si="13"/>
        <v>4604457.87</v>
      </c>
      <c r="D328" s="216">
        <v>2310924.27</v>
      </c>
      <c r="E328" s="216"/>
      <c r="F328" s="216">
        <v>911</v>
      </c>
      <c r="G328" s="216">
        <v>2293533.6</v>
      </c>
      <c r="H328" s="216"/>
      <c r="I328" s="216"/>
      <c r="J328" s="216"/>
      <c r="K328" s="216"/>
      <c r="L328" s="216"/>
      <c r="M328" s="216"/>
      <c r="N328" s="216"/>
      <c r="O328" s="216"/>
      <c r="P328" s="206"/>
    </row>
    <row r="329" spans="1:16" ht="25.5">
      <c r="A329" s="224">
        <v>259</v>
      </c>
      <c r="B329" s="215" t="s">
        <v>5</v>
      </c>
      <c r="C329" s="17">
        <f t="shared" si="13"/>
        <v>724425.6</v>
      </c>
      <c r="D329" s="17">
        <v>724425.6</v>
      </c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06"/>
    </row>
    <row r="330" spans="1:16" ht="25.5">
      <c r="A330" s="224">
        <v>260</v>
      </c>
      <c r="B330" s="215" t="s">
        <v>6</v>
      </c>
      <c r="C330" s="17">
        <f t="shared" si="13"/>
        <v>5803941.27</v>
      </c>
      <c r="D330" s="216">
        <v>3182919.79</v>
      </c>
      <c r="E330" s="216">
        <v>295110.1</v>
      </c>
      <c r="F330" s="216">
        <v>951</v>
      </c>
      <c r="G330" s="216">
        <v>2325911.38</v>
      </c>
      <c r="H330" s="216"/>
      <c r="I330" s="216"/>
      <c r="J330" s="216"/>
      <c r="K330" s="216"/>
      <c r="L330" s="216"/>
      <c r="M330" s="216"/>
      <c r="N330" s="216"/>
      <c r="O330" s="216"/>
      <c r="P330" s="206"/>
    </row>
    <row r="331" spans="1:16" ht="25.5">
      <c r="A331" s="224">
        <v>261</v>
      </c>
      <c r="B331" s="215" t="s">
        <v>7</v>
      </c>
      <c r="C331" s="17">
        <f t="shared" si="13"/>
        <v>141205.49</v>
      </c>
      <c r="D331" s="17">
        <v>141205.49</v>
      </c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06"/>
    </row>
    <row r="332" spans="1:16" ht="25.5">
      <c r="A332" s="224">
        <v>262</v>
      </c>
      <c r="B332" s="215" t="s">
        <v>8</v>
      </c>
      <c r="C332" s="17">
        <f t="shared" si="13"/>
        <v>156478.52</v>
      </c>
      <c r="D332" s="17">
        <v>156478.52</v>
      </c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06"/>
    </row>
    <row r="333" spans="1:16" ht="25.5">
      <c r="A333" s="224">
        <v>263</v>
      </c>
      <c r="B333" s="215" t="s">
        <v>9</v>
      </c>
      <c r="C333" s="17">
        <f t="shared" si="13"/>
        <v>2353907.79</v>
      </c>
      <c r="D333" s="216"/>
      <c r="E333" s="216"/>
      <c r="F333" s="216">
        <v>951</v>
      </c>
      <c r="G333" s="17">
        <v>2353907.79</v>
      </c>
      <c r="H333" s="216"/>
      <c r="I333" s="216"/>
      <c r="J333" s="216"/>
      <c r="K333" s="216"/>
      <c r="L333" s="216"/>
      <c r="M333" s="216"/>
      <c r="N333" s="216"/>
      <c r="O333" s="216"/>
      <c r="P333" s="206"/>
    </row>
    <row r="334" spans="1:16" ht="25.5">
      <c r="A334" s="224">
        <v>264</v>
      </c>
      <c r="B334" s="215" t="s">
        <v>10</v>
      </c>
      <c r="C334" s="17">
        <f t="shared" si="13"/>
        <v>3796539.89</v>
      </c>
      <c r="D334" s="216"/>
      <c r="E334" s="216"/>
      <c r="F334" s="216">
        <v>1508</v>
      </c>
      <c r="G334" s="17">
        <v>3796539.89</v>
      </c>
      <c r="H334" s="216"/>
      <c r="I334" s="216"/>
      <c r="J334" s="216"/>
      <c r="K334" s="216"/>
      <c r="L334" s="216"/>
      <c r="M334" s="216"/>
      <c r="N334" s="216"/>
      <c r="O334" s="216"/>
      <c r="P334" s="206"/>
    </row>
    <row r="335" spans="1:16" ht="25.5">
      <c r="A335" s="224">
        <v>265</v>
      </c>
      <c r="B335" s="215" t="s">
        <v>11</v>
      </c>
      <c r="C335" s="17">
        <f t="shared" si="13"/>
        <v>4036965.43</v>
      </c>
      <c r="D335" s="17">
        <v>4036965.43</v>
      </c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06"/>
    </row>
    <row r="336" spans="1:16" ht="25.5">
      <c r="A336" s="224">
        <v>266</v>
      </c>
      <c r="B336" s="215" t="s">
        <v>12</v>
      </c>
      <c r="C336" s="17">
        <f t="shared" si="13"/>
        <v>5278832.14</v>
      </c>
      <c r="D336" s="216">
        <v>4812589.6</v>
      </c>
      <c r="E336" s="216">
        <v>466242.54</v>
      </c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06"/>
    </row>
    <row r="337" spans="1:16" ht="25.5">
      <c r="A337" s="224">
        <v>267</v>
      </c>
      <c r="B337" s="215" t="s">
        <v>13</v>
      </c>
      <c r="C337" s="17">
        <f t="shared" si="13"/>
        <v>3946926.11</v>
      </c>
      <c r="D337" s="216">
        <v>3655827.67</v>
      </c>
      <c r="E337" s="216">
        <v>291098.44</v>
      </c>
      <c r="F337" s="216"/>
      <c r="G337" s="216"/>
      <c r="H337" s="225"/>
      <c r="I337" s="216"/>
      <c r="J337" s="216"/>
      <c r="K337" s="216"/>
      <c r="L337" s="216"/>
      <c r="M337" s="216"/>
      <c r="N337" s="216"/>
      <c r="O337" s="216"/>
      <c r="P337" s="206"/>
    </row>
    <row r="338" spans="1:16" ht="25.5">
      <c r="A338" s="224">
        <v>268</v>
      </c>
      <c r="B338" s="215" t="s">
        <v>178</v>
      </c>
      <c r="C338" s="17">
        <f t="shared" si="13"/>
        <v>2223040.8</v>
      </c>
      <c r="D338" s="216"/>
      <c r="E338" s="216"/>
      <c r="F338" s="216">
        <v>883</v>
      </c>
      <c r="G338" s="216">
        <v>2223040.8</v>
      </c>
      <c r="H338" s="216"/>
      <c r="I338" s="216"/>
      <c r="J338" s="216"/>
      <c r="K338" s="216"/>
      <c r="L338" s="216"/>
      <c r="M338" s="216"/>
      <c r="N338" s="216"/>
      <c r="O338" s="216"/>
      <c r="P338" s="206"/>
    </row>
    <row r="339" spans="1:16" ht="25.5">
      <c r="A339" s="224">
        <v>269</v>
      </c>
      <c r="B339" s="215" t="s">
        <v>1617</v>
      </c>
      <c r="C339" s="17">
        <f t="shared" si="13"/>
        <v>2242984.95</v>
      </c>
      <c r="D339" s="17">
        <v>2242984.95</v>
      </c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06"/>
    </row>
    <row r="340" spans="1:16" ht="25.5">
      <c r="A340" s="224">
        <v>270</v>
      </c>
      <c r="B340" s="215" t="s">
        <v>1310</v>
      </c>
      <c r="C340" s="17">
        <f t="shared" si="13"/>
        <v>3217340.09</v>
      </c>
      <c r="D340" s="17">
        <v>3217340.09</v>
      </c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06"/>
    </row>
    <row r="341" spans="1:16" ht="25.5">
      <c r="A341" s="224">
        <v>271</v>
      </c>
      <c r="B341" s="215" t="s">
        <v>14</v>
      </c>
      <c r="C341" s="17">
        <f t="shared" si="13"/>
        <v>3516898.0399999996</v>
      </c>
      <c r="D341" s="216">
        <v>1965790.43</v>
      </c>
      <c r="E341" s="216">
        <v>509912.54</v>
      </c>
      <c r="F341" s="216">
        <v>845</v>
      </c>
      <c r="G341" s="216">
        <v>1041195.07</v>
      </c>
      <c r="H341" s="216"/>
      <c r="I341" s="216"/>
      <c r="J341" s="216"/>
      <c r="K341" s="216"/>
      <c r="L341" s="216"/>
      <c r="M341" s="216"/>
      <c r="N341" s="216"/>
      <c r="O341" s="216"/>
      <c r="P341" s="206"/>
    </row>
    <row r="342" spans="1:16" ht="25.5">
      <c r="A342" s="224">
        <v>272</v>
      </c>
      <c r="B342" s="215" t="s">
        <v>15</v>
      </c>
      <c r="C342" s="17">
        <f t="shared" si="13"/>
        <v>5597753.77</v>
      </c>
      <c r="D342" s="216">
        <v>4920355.13</v>
      </c>
      <c r="E342" s="216">
        <v>677398.64</v>
      </c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06"/>
    </row>
    <row r="343" spans="1:16" ht="25.5">
      <c r="A343" s="224">
        <v>273</v>
      </c>
      <c r="B343" s="215" t="s">
        <v>571</v>
      </c>
      <c r="C343" s="17">
        <f t="shared" si="13"/>
        <v>5307661.08</v>
      </c>
      <c r="D343" s="216">
        <v>5009146.9</v>
      </c>
      <c r="E343" s="216">
        <v>298514.18</v>
      </c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06"/>
    </row>
    <row r="344" spans="1:16" ht="25.5">
      <c r="A344" s="224">
        <v>274</v>
      </c>
      <c r="B344" s="215" t="s">
        <v>572</v>
      </c>
      <c r="C344" s="17">
        <f t="shared" si="13"/>
        <v>7027534.630000001</v>
      </c>
      <c r="D344" s="216">
        <v>4251774.23</v>
      </c>
      <c r="E344" s="216">
        <v>300960.12</v>
      </c>
      <c r="F344" s="216">
        <v>983</v>
      </c>
      <c r="G344" s="216">
        <v>2474800.28</v>
      </c>
      <c r="H344" s="216"/>
      <c r="I344" s="216"/>
      <c r="J344" s="216"/>
      <c r="K344" s="216"/>
      <c r="L344" s="216"/>
      <c r="M344" s="216"/>
      <c r="N344" s="216"/>
      <c r="O344" s="216"/>
      <c r="P344" s="206"/>
    </row>
    <row r="345" spans="1:16" ht="25.5">
      <c r="A345" s="224">
        <v>275</v>
      </c>
      <c r="B345" s="215" t="s">
        <v>573</v>
      </c>
      <c r="C345" s="17">
        <f t="shared" si="13"/>
        <v>2919311.35</v>
      </c>
      <c r="D345" s="216">
        <v>2654058.2</v>
      </c>
      <c r="E345" s="216">
        <v>265253.15</v>
      </c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06"/>
    </row>
    <row r="346" spans="1:16" ht="25.5">
      <c r="A346" s="224">
        <v>276</v>
      </c>
      <c r="B346" s="215" t="s">
        <v>805</v>
      </c>
      <c r="C346" s="17">
        <f t="shared" si="13"/>
        <v>2570691.48</v>
      </c>
      <c r="D346" s="216"/>
      <c r="E346" s="216"/>
      <c r="F346" s="216">
        <v>1188</v>
      </c>
      <c r="G346" s="17">
        <v>2570691.48</v>
      </c>
      <c r="H346" s="216"/>
      <c r="I346" s="216"/>
      <c r="J346" s="216"/>
      <c r="K346" s="216"/>
      <c r="L346" s="216"/>
      <c r="M346" s="216"/>
      <c r="N346" s="216"/>
      <c r="O346" s="216"/>
      <c r="P346" s="206"/>
    </row>
    <row r="347" spans="1:16" ht="25.5">
      <c r="A347" s="224">
        <v>277</v>
      </c>
      <c r="B347" s="215" t="s">
        <v>574</v>
      </c>
      <c r="C347" s="17">
        <f t="shared" si="13"/>
        <v>4503062.88</v>
      </c>
      <c r="D347" s="216">
        <v>4202102.77</v>
      </c>
      <c r="E347" s="216">
        <v>300960.11</v>
      </c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06"/>
    </row>
    <row r="348" spans="1:16" ht="25.5">
      <c r="A348" s="224">
        <v>278</v>
      </c>
      <c r="B348" s="215" t="s">
        <v>575</v>
      </c>
      <c r="C348" s="17">
        <f t="shared" si="13"/>
        <v>4438910.92</v>
      </c>
      <c r="D348" s="216">
        <v>4141165.41</v>
      </c>
      <c r="E348" s="216">
        <v>297745.51</v>
      </c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06"/>
    </row>
    <row r="349" spans="1:16" ht="25.5">
      <c r="A349" s="224">
        <v>279</v>
      </c>
      <c r="B349" s="215" t="s">
        <v>16</v>
      </c>
      <c r="C349" s="17">
        <f t="shared" si="13"/>
        <v>665468.23</v>
      </c>
      <c r="D349" s="216"/>
      <c r="E349" s="216"/>
      <c r="F349" s="216">
        <v>265</v>
      </c>
      <c r="G349" s="17">
        <v>665468.23</v>
      </c>
      <c r="H349" s="216"/>
      <c r="I349" s="216"/>
      <c r="J349" s="216"/>
      <c r="K349" s="216"/>
      <c r="L349" s="216"/>
      <c r="M349" s="216"/>
      <c r="N349" s="216"/>
      <c r="O349" s="216"/>
      <c r="P349" s="206"/>
    </row>
    <row r="350" spans="1:16" ht="25.5">
      <c r="A350" s="224">
        <v>280</v>
      </c>
      <c r="B350" s="215" t="s">
        <v>17</v>
      </c>
      <c r="C350" s="17">
        <f t="shared" si="13"/>
        <v>608291.17</v>
      </c>
      <c r="D350" s="216"/>
      <c r="E350" s="216"/>
      <c r="F350" s="216">
        <v>266</v>
      </c>
      <c r="G350" s="17">
        <v>608291.17</v>
      </c>
      <c r="H350" s="216"/>
      <c r="I350" s="216"/>
      <c r="J350" s="216"/>
      <c r="K350" s="216"/>
      <c r="L350" s="216"/>
      <c r="M350" s="216"/>
      <c r="N350" s="216"/>
      <c r="O350" s="216"/>
      <c r="P350" s="206"/>
    </row>
    <row r="351" spans="1:16" ht="25.5">
      <c r="A351" s="224">
        <v>281</v>
      </c>
      <c r="B351" s="215" t="s">
        <v>18</v>
      </c>
      <c r="C351" s="17">
        <f t="shared" si="13"/>
        <v>621481.05</v>
      </c>
      <c r="D351" s="216"/>
      <c r="E351" s="216"/>
      <c r="F351" s="216">
        <v>263</v>
      </c>
      <c r="G351" s="17">
        <v>621481.05</v>
      </c>
      <c r="H351" s="216"/>
      <c r="I351" s="216"/>
      <c r="J351" s="216"/>
      <c r="K351" s="216"/>
      <c r="L351" s="216"/>
      <c r="M351" s="216"/>
      <c r="N351" s="216"/>
      <c r="O351" s="216"/>
      <c r="P351" s="206"/>
    </row>
    <row r="352" spans="1:16" ht="25.5">
      <c r="A352" s="224">
        <v>282</v>
      </c>
      <c r="B352" s="215" t="s">
        <v>1312</v>
      </c>
      <c r="C352" s="17">
        <f t="shared" si="13"/>
        <v>3129717.85</v>
      </c>
      <c r="D352" s="216">
        <v>1069984.11</v>
      </c>
      <c r="E352" s="216">
        <v>260648.65</v>
      </c>
      <c r="F352" s="216">
        <v>829</v>
      </c>
      <c r="G352" s="216">
        <v>1799085.09</v>
      </c>
      <c r="H352" s="216"/>
      <c r="I352" s="216"/>
      <c r="J352" s="216"/>
      <c r="K352" s="216"/>
      <c r="L352" s="216"/>
      <c r="M352" s="216"/>
      <c r="N352" s="216"/>
      <c r="O352" s="216"/>
      <c r="P352" s="206"/>
    </row>
    <row r="353" spans="1:16" ht="25.5">
      <c r="A353" s="224">
        <v>283</v>
      </c>
      <c r="B353" s="215" t="s">
        <v>19</v>
      </c>
      <c r="C353" s="17">
        <f t="shared" si="13"/>
        <v>5533482.17</v>
      </c>
      <c r="D353" s="216">
        <v>2850607.68</v>
      </c>
      <c r="E353" s="216">
        <v>301227.13</v>
      </c>
      <c r="F353" s="216">
        <v>946</v>
      </c>
      <c r="G353" s="216">
        <v>2381647.36</v>
      </c>
      <c r="H353" s="216"/>
      <c r="I353" s="216"/>
      <c r="J353" s="216"/>
      <c r="K353" s="216"/>
      <c r="L353" s="216"/>
      <c r="M353" s="216"/>
      <c r="N353" s="216"/>
      <c r="O353" s="216"/>
      <c r="P353" s="206"/>
    </row>
    <row r="354" spans="1:16" ht="25.5">
      <c r="A354" s="224">
        <v>284</v>
      </c>
      <c r="B354" s="215" t="s">
        <v>20</v>
      </c>
      <c r="C354" s="17">
        <f t="shared" si="13"/>
        <v>774412.82</v>
      </c>
      <c r="D354" s="17">
        <v>774412.82</v>
      </c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06"/>
    </row>
    <row r="355" spans="1:16" ht="25.5">
      <c r="A355" s="224">
        <v>285</v>
      </c>
      <c r="B355" s="215" t="s">
        <v>1313</v>
      </c>
      <c r="C355" s="17">
        <f t="shared" si="13"/>
        <v>1495273.69</v>
      </c>
      <c r="D355" s="17">
        <v>1495273.69</v>
      </c>
      <c r="E355" s="216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06"/>
    </row>
    <row r="356" spans="1:16" ht="25.5">
      <c r="A356" s="224">
        <v>286</v>
      </c>
      <c r="B356" s="215" t="s">
        <v>1314</v>
      </c>
      <c r="C356" s="17">
        <f t="shared" si="13"/>
        <v>2843360.39</v>
      </c>
      <c r="D356" s="17">
        <v>2843360.39</v>
      </c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06"/>
    </row>
    <row r="357" spans="1:16" ht="25.5">
      <c r="A357" s="224">
        <v>287</v>
      </c>
      <c r="B357" s="220" t="s">
        <v>321</v>
      </c>
      <c r="C357" s="17">
        <f t="shared" si="13"/>
        <v>1646058.58</v>
      </c>
      <c r="D357" s="216"/>
      <c r="E357" s="216"/>
      <c r="F357" s="216">
        <v>690</v>
      </c>
      <c r="G357" s="17">
        <v>1646058.58</v>
      </c>
      <c r="H357" s="216"/>
      <c r="I357" s="216"/>
      <c r="J357" s="216"/>
      <c r="K357" s="216"/>
      <c r="L357" s="216"/>
      <c r="M357" s="216"/>
      <c r="N357" s="216"/>
      <c r="O357" s="216"/>
      <c r="P357" s="206"/>
    </row>
    <row r="358" spans="1:16" ht="25.5">
      <c r="A358" s="224">
        <v>288</v>
      </c>
      <c r="B358" s="215" t="s">
        <v>988</v>
      </c>
      <c r="C358" s="17">
        <f t="shared" si="13"/>
        <v>1324464.43</v>
      </c>
      <c r="D358" s="216"/>
      <c r="E358" s="216"/>
      <c r="F358" s="216">
        <v>533</v>
      </c>
      <c r="G358" s="17">
        <v>1324464.43</v>
      </c>
      <c r="H358" s="216"/>
      <c r="I358" s="216"/>
      <c r="J358" s="216"/>
      <c r="K358" s="216"/>
      <c r="L358" s="216"/>
      <c r="M358" s="216"/>
      <c r="N358" s="216"/>
      <c r="O358" s="216"/>
      <c r="P358" s="206"/>
    </row>
    <row r="359" spans="1:16" ht="25.5">
      <c r="A359" s="224">
        <v>289</v>
      </c>
      <c r="B359" s="215" t="s">
        <v>989</v>
      </c>
      <c r="C359" s="17">
        <f t="shared" si="13"/>
        <v>1789929.55</v>
      </c>
      <c r="D359" s="17">
        <v>1789929.55</v>
      </c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06"/>
    </row>
    <row r="360" spans="1:16" ht="38.25">
      <c r="A360" s="224">
        <v>290</v>
      </c>
      <c r="B360" s="215" t="s">
        <v>921</v>
      </c>
      <c r="C360" s="17">
        <f t="shared" si="13"/>
        <v>8141334.75</v>
      </c>
      <c r="D360" s="216"/>
      <c r="E360" s="216"/>
      <c r="F360" s="216"/>
      <c r="G360" s="216"/>
      <c r="H360" s="225">
        <v>5</v>
      </c>
      <c r="I360" s="17">
        <v>8141334.75</v>
      </c>
      <c r="J360" s="216"/>
      <c r="K360" s="216"/>
      <c r="L360" s="216"/>
      <c r="M360" s="216"/>
      <c r="N360" s="216"/>
      <c r="O360" s="216"/>
      <c r="P360" s="206"/>
    </row>
    <row r="361" spans="1:16" ht="25.5">
      <c r="A361" s="224">
        <v>291</v>
      </c>
      <c r="B361" s="215" t="s">
        <v>992</v>
      </c>
      <c r="C361" s="17">
        <f t="shared" si="13"/>
        <v>6549051.6</v>
      </c>
      <c r="D361" s="216"/>
      <c r="E361" s="216"/>
      <c r="F361" s="216"/>
      <c r="G361" s="216"/>
      <c r="H361" s="225">
        <v>4</v>
      </c>
      <c r="I361" s="17">
        <v>6549051.6</v>
      </c>
      <c r="J361" s="216"/>
      <c r="K361" s="216"/>
      <c r="L361" s="216"/>
      <c r="M361" s="216"/>
      <c r="N361" s="216"/>
      <c r="O361" s="216"/>
      <c r="P361" s="206"/>
    </row>
    <row r="362" spans="1:16" ht="25.5">
      <c r="A362" s="224">
        <v>292</v>
      </c>
      <c r="B362" s="215" t="s">
        <v>993</v>
      </c>
      <c r="C362" s="17">
        <f t="shared" si="13"/>
        <v>1290897.74</v>
      </c>
      <c r="D362" s="216"/>
      <c r="E362" s="216"/>
      <c r="F362" s="216">
        <v>536</v>
      </c>
      <c r="G362" s="17">
        <v>1290897.74</v>
      </c>
      <c r="H362" s="216"/>
      <c r="I362" s="216"/>
      <c r="J362" s="216"/>
      <c r="K362" s="216"/>
      <c r="L362" s="216"/>
      <c r="M362" s="216"/>
      <c r="N362" s="216"/>
      <c r="O362" s="216"/>
      <c r="P362" s="206"/>
    </row>
    <row r="363" spans="1:16" ht="25.5">
      <c r="A363" s="224">
        <v>293</v>
      </c>
      <c r="B363" s="215" t="s">
        <v>994</v>
      </c>
      <c r="C363" s="17">
        <f t="shared" si="13"/>
        <v>3228033.46</v>
      </c>
      <c r="D363" s="216">
        <v>2811974.09</v>
      </c>
      <c r="E363" s="216">
        <v>416059.37</v>
      </c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06"/>
    </row>
    <row r="364" spans="1:16" ht="42" customHeight="1">
      <c r="A364" s="224">
        <v>294</v>
      </c>
      <c r="B364" s="215" t="s">
        <v>653</v>
      </c>
      <c r="C364" s="17">
        <f t="shared" si="13"/>
        <v>1870787.98</v>
      </c>
      <c r="D364" s="17">
        <v>1870787.98</v>
      </c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06"/>
    </row>
    <row r="365" spans="1:16" ht="25.5">
      <c r="A365" s="224">
        <v>295</v>
      </c>
      <c r="B365" s="215" t="s">
        <v>997</v>
      </c>
      <c r="C365" s="17">
        <f t="shared" si="13"/>
        <v>858655.12</v>
      </c>
      <c r="D365" s="17">
        <v>858655.12</v>
      </c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06"/>
    </row>
    <row r="366" spans="1:16" ht="27.75" customHeight="1">
      <c r="A366" s="224">
        <v>296</v>
      </c>
      <c r="B366" s="215" t="s">
        <v>1170</v>
      </c>
      <c r="C366" s="17">
        <f t="shared" si="13"/>
        <v>833984.75</v>
      </c>
      <c r="D366" s="17">
        <v>833984.75</v>
      </c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06"/>
    </row>
    <row r="367" spans="1:16" ht="37.5" customHeight="1">
      <c r="A367" s="224">
        <v>297</v>
      </c>
      <c r="B367" s="215" t="s">
        <v>922</v>
      </c>
      <c r="C367" s="17">
        <f t="shared" si="13"/>
        <v>3274525.8</v>
      </c>
      <c r="D367" s="216"/>
      <c r="E367" s="216"/>
      <c r="F367" s="216"/>
      <c r="G367" s="216"/>
      <c r="H367" s="225">
        <v>2</v>
      </c>
      <c r="I367" s="17">
        <v>3274525.8</v>
      </c>
      <c r="J367" s="216"/>
      <c r="K367" s="216"/>
      <c r="L367" s="216"/>
      <c r="M367" s="216"/>
      <c r="N367" s="216"/>
      <c r="O367" s="216"/>
      <c r="P367" s="206"/>
    </row>
    <row r="368" spans="1:16" ht="25.5">
      <c r="A368" s="224">
        <v>298</v>
      </c>
      <c r="B368" s="215" t="s">
        <v>999</v>
      </c>
      <c r="C368" s="17">
        <f t="shared" si="13"/>
        <v>3408319.79</v>
      </c>
      <c r="D368" s="216"/>
      <c r="E368" s="216"/>
      <c r="F368" s="216">
        <v>1678</v>
      </c>
      <c r="G368" s="17">
        <v>3408319.79</v>
      </c>
      <c r="H368" s="216"/>
      <c r="I368" s="216"/>
      <c r="J368" s="216"/>
      <c r="K368" s="216"/>
      <c r="L368" s="216"/>
      <c r="M368" s="216"/>
      <c r="N368" s="216"/>
      <c r="O368" s="216"/>
      <c r="P368" s="206"/>
    </row>
    <row r="369" spans="1:16" ht="38.25">
      <c r="A369" s="224">
        <v>299</v>
      </c>
      <c r="B369" s="215" t="s">
        <v>923</v>
      </c>
      <c r="C369" s="17">
        <f t="shared" si="13"/>
        <v>886812.51</v>
      </c>
      <c r="D369" s="17">
        <v>886812.51</v>
      </c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06"/>
    </row>
    <row r="370" spans="1:16" ht="38.25">
      <c r="A370" s="224">
        <v>300</v>
      </c>
      <c r="B370" s="215" t="s">
        <v>924</v>
      </c>
      <c r="C370" s="17">
        <f t="shared" si="13"/>
        <v>2581794.35</v>
      </c>
      <c r="D370" s="216"/>
      <c r="E370" s="216"/>
      <c r="F370" s="216">
        <v>1469.2</v>
      </c>
      <c r="G370" s="17">
        <v>2581794.35</v>
      </c>
      <c r="H370" s="216"/>
      <c r="I370" s="216"/>
      <c r="J370" s="216"/>
      <c r="K370" s="216"/>
      <c r="L370" s="216"/>
      <c r="M370" s="216"/>
      <c r="N370" s="216"/>
      <c r="O370" s="216"/>
      <c r="P370" s="206"/>
    </row>
    <row r="371" spans="1:16" ht="25.5">
      <c r="A371" s="224">
        <v>301</v>
      </c>
      <c r="B371" s="215" t="s">
        <v>1003</v>
      </c>
      <c r="C371" s="17">
        <f t="shared" si="13"/>
        <v>1770836.11</v>
      </c>
      <c r="D371" s="216"/>
      <c r="E371" s="216"/>
      <c r="F371" s="216">
        <v>757</v>
      </c>
      <c r="G371" s="17">
        <v>1770836.11</v>
      </c>
      <c r="H371" s="216"/>
      <c r="I371" s="216"/>
      <c r="J371" s="216"/>
      <c r="K371" s="216"/>
      <c r="L371" s="216"/>
      <c r="M371" s="216"/>
      <c r="N371" s="216"/>
      <c r="O371" s="216"/>
      <c r="P371" s="206"/>
    </row>
    <row r="372" spans="1:16" ht="25.5">
      <c r="A372" s="224">
        <v>302</v>
      </c>
      <c r="B372" s="215" t="s">
        <v>925</v>
      </c>
      <c r="C372" s="17">
        <f t="shared" si="13"/>
        <v>5506822.3</v>
      </c>
      <c r="D372" s="17">
        <v>5506822.3</v>
      </c>
      <c r="E372" s="216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06"/>
    </row>
    <row r="373" spans="1:16" ht="38.25">
      <c r="A373" s="224">
        <v>303</v>
      </c>
      <c r="B373" s="215" t="s">
        <v>926</v>
      </c>
      <c r="C373" s="17">
        <f t="shared" si="13"/>
        <v>1058282.39</v>
      </c>
      <c r="D373" s="17">
        <v>1058282.39</v>
      </c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06"/>
    </row>
    <row r="374" spans="1:16" ht="25.5">
      <c r="A374" s="224">
        <v>304</v>
      </c>
      <c r="B374" s="215" t="s">
        <v>1007</v>
      </c>
      <c r="C374" s="17">
        <f t="shared" si="13"/>
        <v>1489152.67</v>
      </c>
      <c r="D374" s="216"/>
      <c r="E374" s="216"/>
      <c r="F374" s="216">
        <v>603</v>
      </c>
      <c r="G374" s="17">
        <v>1489152.67</v>
      </c>
      <c r="H374" s="216"/>
      <c r="I374" s="216"/>
      <c r="J374" s="216"/>
      <c r="K374" s="216"/>
      <c r="L374" s="216"/>
      <c r="M374" s="216"/>
      <c r="N374" s="216"/>
      <c r="O374" s="216"/>
      <c r="P374" s="206"/>
    </row>
    <row r="375" spans="1:16" ht="25.5">
      <c r="A375" s="224">
        <v>305</v>
      </c>
      <c r="B375" s="215" t="s">
        <v>1008</v>
      </c>
      <c r="C375" s="17">
        <f t="shared" si="13"/>
        <v>971442.45</v>
      </c>
      <c r="D375" s="17">
        <v>971442.45</v>
      </c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06"/>
    </row>
    <row r="376" spans="1:16" ht="25.5">
      <c r="A376" s="224">
        <v>306</v>
      </c>
      <c r="B376" s="215" t="s">
        <v>1009</v>
      </c>
      <c r="C376" s="17">
        <f t="shared" si="13"/>
        <v>676515.36</v>
      </c>
      <c r="D376" s="17">
        <v>676515.36</v>
      </c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06"/>
    </row>
    <row r="377" spans="1:16" ht="27" customHeight="1">
      <c r="A377" s="224">
        <v>307</v>
      </c>
      <c r="B377" s="215" t="s">
        <v>0</v>
      </c>
      <c r="C377" s="17">
        <f t="shared" si="13"/>
        <v>4902193.02</v>
      </c>
      <c r="D377" s="51"/>
      <c r="E377" s="216"/>
      <c r="F377" s="216"/>
      <c r="G377" s="216"/>
      <c r="H377" s="225">
        <v>2</v>
      </c>
      <c r="I377" s="17">
        <v>4902193.02</v>
      </c>
      <c r="J377" s="216"/>
      <c r="K377" s="216"/>
      <c r="L377" s="216"/>
      <c r="M377" s="216"/>
      <c r="N377" s="216"/>
      <c r="O377" s="216"/>
      <c r="P377" s="206"/>
    </row>
    <row r="378" spans="1:16" ht="25.5">
      <c r="A378" s="224">
        <v>308</v>
      </c>
      <c r="B378" s="215" t="s">
        <v>1</v>
      </c>
      <c r="C378" s="17">
        <f t="shared" si="13"/>
        <v>682804.05</v>
      </c>
      <c r="D378" s="17">
        <v>682804.05</v>
      </c>
      <c r="E378" s="216"/>
      <c r="F378" s="216"/>
      <c r="G378" s="216"/>
      <c r="H378" s="226"/>
      <c r="I378" s="226"/>
      <c r="J378" s="225"/>
      <c r="K378" s="216"/>
      <c r="L378" s="216"/>
      <c r="M378" s="216"/>
      <c r="N378" s="216"/>
      <c r="O378" s="216"/>
      <c r="P378" s="206"/>
    </row>
    <row r="379" spans="1:16" ht="25.5">
      <c r="A379" s="224">
        <v>309</v>
      </c>
      <c r="B379" s="215" t="s">
        <v>3</v>
      </c>
      <c r="C379" s="17">
        <f t="shared" si="13"/>
        <v>1384463.72</v>
      </c>
      <c r="D379" s="17">
        <v>422189.51</v>
      </c>
      <c r="E379" s="17">
        <v>698890.54</v>
      </c>
      <c r="F379" s="17"/>
      <c r="G379" s="17"/>
      <c r="H379" s="17"/>
      <c r="I379" s="17"/>
      <c r="J379" s="17">
        <v>468.5</v>
      </c>
      <c r="K379" s="17">
        <v>263383.67</v>
      </c>
      <c r="L379" s="216"/>
      <c r="M379" s="216"/>
      <c r="N379" s="216"/>
      <c r="O379" s="216"/>
      <c r="P379" s="206"/>
    </row>
    <row r="380" spans="1:16" ht="25.5">
      <c r="A380" s="224">
        <v>310</v>
      </c>
      <c r="B380" s="215" t="s">
        <v>909</v>
      </c>
      <c r="C380" s="17">
        <f t="shared" si="13"/>
        <v>2763605.61</v>
      </c>
      <c r="D380" s="216"/>
      <c r="E380" s="216"/>
      <c r="F380" s="216">
        <v>1100</v>
      </c>
      <c r="G380" s="17">
        <v>2763605.61</v>
      </c>
      <c r="H380" s="216"/>
      <c r="I380" s="216"/>
      <c r="J380" s="216"/>
      <c r="K380" s="216"/>
      <c r="L380" s="216"/>
      <c r="M380" s="216"/>
      <c r="N380" s="216"/>
      <c r="O380" s="216"/>
      <c r="P380" s="206"/>
    </row>
    <row r="381" spans="1:16" ht="25.5">
      <c r="A381" s="224">
        <v>311</v>
      </c>
      <c r="B381" s="215" t="s">
        <v>1167</v>
      </c>
      <c r="C381" s="17">
        <f t="shared" si="13"/>
        <v>3034822.31</v>
      </c>
      <c r="D381" s="216">
        <v>1035066.99</v>
      </c>
      <c r="E381" s="216">
        <v>274504.86</v>
      </c>
      <c r="F381" s="216">
        <v>757</v>
      </c>
      <c r="G381" s="216">
        <v>1725250.46</v>
      </c>
      <c r="H381" s="216"/>
      <c r="I381" s="216"/>
      <c r="J381" s="216"/>
      <c r="K381" s="216"/>
      <c r="L381" s="216"/>
      <c r="M381" s="216"/>
      <c r="N381" s="216"/>
      <c r="O381" s="216"/>
      <c r="P381" s="206"/>
    </row>
    <row r="382" spans="1:16" ht="25.5">
      <c r="A382" s="224">
        <v>312</v>
      </c>
      <c r="B382" s="215" t="s">
        <v>1168</v>
      </c>
      <c r="C382" s="17">
        <f aca="true" t="shared" si="14" ref="C382:C391">D382+E382+G382+I382+K382</f>
        <v>1675045.79</v>
      </c>
      <c r="D382" s="17">
        <v>1675045.79</v>
      </c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06"/>
    </row>
    <row r="383" spans="1:16" ht="25.5">
      <c r="A383" s="224">
        <v>313</v>
      </c>
      <c r="B383" s="215" t="s">
        <v>1169</v>
      </c>
      <c r="C383" s="17">
        <f t="shared" si="14"/>
        <v>1426445.91</v>
      </c>
      <c r="D383" s="17"/>
      <c r="E383" s="216"/>
      <c r="F383" s="216">
        <v>1152</v>
      </c>
      <c r="G383" s="17">
        <v>1426445.91</v>
      </c>
      <c r="H383" s="216"/>
      <c r="I383" s="216"/>
      <c r="J383" s="216"/>
      <c r="K383" s="216"/>
      <c r="L383" s="216"/>
      <c r="M383" s="216"/>
      <c r="N383" s="216"/>
      <c r="O383" s="216"/>
      <c r="P383" s="206"/>
    </row>
    <row r="384" spans="1:16" ht="38.25">
      <c r="A384" s="224">
        <v>314</v>
      </c>
      <c r="B384" s="215" t="s">
        <v>669</v>
      </c>
      <c r="C384" s="17">
        <f t="shared" si="14"/>
        <v>1506745.95</v>
      </c>
      <c r="D384" s="17">
        <v>1506745.95</v>
      </c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06"/>
    </row>
    <row r="385" spans="1:16" ht="25.5">
      <c r="A385" s="224">
        <v>315</v>
      </c>
      <c r="B385" s="215" t="s">
        <v>1478</v>
      </c>
      <c r="C385" s="17">
        <f t="shared" si="14"/>
        <v>850901.34</v>
      </c>
      <c r="D385" s="17"/>
      <c r="E385" s="216"/>
      <c r="F385" s="216">
        <v>933</v>
      </c>
      <c r="G385" s="17">
        <v>850901.34</v>
      </c>
      <c r="H385" s="216"/>
      <c r="I385" s="216"/>
      <c r="J385" s="216"/>
      <c r="K385" s="216"/>
      <c r="L385" s="216"/>
      <c r="M385" s="216"/>
      <c r="N385" s="216"/>
      <c r="O385" s="216"/>
      <c r="P385" s="206"/>
    </row>
    <row r="386" spans="1:16" ht="38.25">
      <c r="A386" s="224">
        <v>316</v>
      </c>
      <c r="B386" s="215" t="s">
        <v>670</v>
      </c>
      <c r="C386" s="17">
        <f t="shared" si="14"/>
        <v>3111419.72</v>
      </c>
      <c r="D386" s="17">
        <v>3111419.72</v>
      </c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06"/>
    </row>
    <row r="387" spans="1:16" ht="38.25">
      <c r="A387" s="224">
        <v>317</v>
      </c>
      <c r="B387" s="215" t="s">
        <v>1171</v>
      </c>
      <c r="C387" s="17">
        <f t="shared" si="14"/>
        <v>4065054</v>
      </c>
      <c r="D387" s="17">
        <v>4065054</v>
      </c>
      <c r="E387" s="216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06"/>
    </row>
    <row r="388" spans="1:16" ht="25.5">
      <c r="A388" s="224">
        <v>318</v>
      </c>
      <c r="B388" s="215" t="s">
        <v>1160</v>
      </c>
      <c r="C388" s="17">
        <f t="shared" si="14"/>
        <v>3188000</v>
      </c>
      <c r="D388" s="17">
        <v>3188000</v>
      </c>
      <c r="E388" s="216"/>
      <c r="F388" s="216"/>
      <c r="G388" s="17"/>
      <c r="H388" s="216"/>
      <c r="I388" s="216"/>
      <c r="J388" s="216"/>
      <c r="K388" s="216"/>
      <c r="L388" s="216"/>
      <c r="M388" s="216"/>
      <c r="N388" s="216"/>
      <c r="O388" s="216"/>
      <c r="P388" s="206"/>
    </row>
    <row r="389" spans="1:16" ht="25.5">
      <c r="A389" s="224">
        <v>319</v>
      </c>
      <c r="B389" s="215" t="s">
        <v>1161</v>
      </c>
      <c r="C389" s="17">
        <f t="shared" si="14"/>
        <v>2458000</v>
      </c>
      <c r="D389" s="17"/>
      <c r="E389" s="216"/>
      <c r="F389" s="216">
        <v>1840</v>
      </c>
      <c r="G389" s="17">
        <v>2458000</v>
      </c>
      <c r="H389" s="216"/>
      <c r="I389" s="216"/>
      <c r="J389" s="216"/>
      <c r="K389" s="216"/>
      <c r="L389" s="216"/>
      <c r="M389" s="216"/>
      <c r="N389" s="216"/>
      <c r="O389" s="216"/>
      <c r="P389" s="206"/>
    </row>
    <row r="390" spans="1:16" ht="38.25">
      <c r="A390" s="224">
        <v>320</v>
      </c>
      <c r="B390" s="215" t="s">
        <v>372</v>
      </c>
      <c r="C390" s="17">
        <f t="shared" si="14"/>
        <v>2943000</v>
      </c>
      <c r="D390" s="17"/>
      <c r="E390" s="216"/>
      <c r="F390" s="216">
        <v>2137</v>
      </c>
      <c r="G390" s="17">
        <v>2943000</v>
      </c>
      <c r="H390" s="216"/>
      <c r="I390" s="216"/>
      <c r="J390" s="216"/>
      <c r="K390" s="216"/>
      <c r="L390" s="216"/>
      <c r="M390" s="216"/>
      <c r="N390" s="216"/>
      <c r="O390" s="216"/>
      <c r="P390" s="206"/>
    </row>
    <row r="391" spans="1:16" ht="25.5">
      <c r="A391" s="224">
        <v>321</v>
      </c>
      <c r="B391" s="215" t="s">
        <v>1482</v>
      </c>
      <c r="C391" s="17">
        <f t="shared" si="14"/>
        <v>1052000</v>
      </c>
      <c r="D391" s="17">
        <v>1052000</v>
      </c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06"/>
    </row>
    <row r="392" spans="1:16" ht="12.75">
      <c r="A392" s="198"/>
      <c r="B392" s="222" t="s">
        <v>1437</v>
      </c>
      <c r="C392" s="218">
        <f>SUM(C253:C391)</f>
        <v>390794987.2200004</v>
      </c>
      <c r="D392" s="218">
        <f aca="true" t="shared" si="15" ref="D392:M392">SUM(D253:D391)</f>
        <v>243820576.91</v>
      </c>
      <c r="E392" s="218">
        <f t="shared" si="15"/>
        <v>19824154.95</v>
      </c>
      <c r="F392" s="218">
        <f t="shared" si="15"/>
        <v>48418.09999999999</v>
      </c>
      <c r="G392" s="218">
        <f t="shared" si="15"/>
        <v>97910451.03999996</v>
      </c>
      <c r="H392" s="223">
        <f t="shared" si="15"/>
        <v>13</v>
      </c>
      <c r="I392" s="218">
        <f t="shared" si="15"/>
        <v>22867105.169999998</v>
      </c>
      <c r="J392" s="218">
        <f t="shared" si="15"/>
        <v>1527.75</v>
      </c>
      <c r="K392" s="218">
        <f t="shared" si="15"/>
        <v>5446863.4</v>
      </c>
      <c r="L392" s="218">
        <f t="shared" si="15"/>
        <v>1992.35</v>
      </c>
      <c r="M392" s="218">
        <f t="shared" si="15"/>
        <v>925835.75</v>
      </c>
      <c r="N392" s="218"/>
      <c r="O392" s="218"/>
      <c r="P392" s="206"/>
    </row>
    <row r="393" spans="1:16" ht="25.5">
      <c r="A393" s="198"/>
      <c r="B393" s="222" t="s">
        <v>787</v>
      </c>
      <c r="C393" s="227">
        <f aca="true" t="shared" si="16" ref="C393:M393">C27+C38+C42+C46+C55+C59+C66+C71+C80+C90+C95+C102+C115+C140+C143+C146+C156+C160+C166+C179+C211+C240+C251+C392</f>
        <v>714841502.9173005</v>
      </c>
      <c r="D393" s="227">
        <f t="shared" si="16"/>
        <v>396391672.5397</v>
      </c>
      <c r="E393" s="227">
        <f t="shared" si="16"/>
        <v>20780014.47</v>
      </c>
      <c r="F393" s="227">
        <f t="shared" si="16"/>
        <v>125562.70999999999</v>
      </c>
      <c r="G393" s="227">
        <f t="shared" si="16"/>
        <v>258116558.29759997</v>
      </c>
      <c r="H393" s="228">
        <f t="shared" si="16"/>
        <v>19</v>
      </c>
      <c r="I393" s="227">
        <f t="shared" si="16"/>
        <v>33180558.459999997</v>
      </c>
      <c r="J393" s="227">
        <f t="shared" si="16"/>
        <v>1527.75</v>
      </c>
      <c r="K393" s="227">
        <f t="shared" si="16"/>
        <v>5446863.4</v>
      </c>
      <c r="L393" s="227">
        <f t="shared" si="16"/>
        <v>1992.35</v>
      </c>
      <c r="M393" s="227">
        <f t="shared" si="16"/>
        <v>925835.75</v>
      </c>
      <c r="N393" s="227"/>
      <c r="O393" s="227"/>
      <c r="P393" s="206"/>
    </row>
    <row r="394" spans="1:16" ht="12.75">
      <c r="A394" s="337" t="s">
        <v>60</v>
      </c>
      <c r="B394" s="338"/>
      <c r="C394" s="338"/>
      <c r="D394" s="338"/>
      <c r="E394" s="338"/>
      <c r="F394" s="338"/>
      <c r="G394" s="338"/>
      <c r="H394" s="338"/>
      <c r="I394" s="338"/>
      <c r="J394" s="338"/>
      <c r="K394" s="338"/>
      <c r="L394" s="338"/>
      <c r="M394" s="338"/>
      <c r="N394" s="338"/>
      <c r="O394" s="338"/>
      <c r="P394" s="339"/>
    </row>
    <row r="395" spans="1:16" ht="15" customHeight="1">
      <c r="A395" s="337" t="s">
        <v>1668</v>
      </c>
      <c r="B395" s="338"/>
      <c r="C395" s="338"/>
      <c r="D395" s="338"/>
      <c r="E395" s="338"/>
      <c r="F395" s="338"/>
      <c r="G395" s="338"/>
      <c r="H395" s="338"/>
      <c r="I395" s="338"/>
      <c r="J395" s="338"/>
      <c r="K395" s="338"/>
      <c r="L395" s="338"/>
      <c r="M395" s="338"/>
      <c r="N395" s="338"/>
      <c r="O395" s="338"/>
      <c r="P395" s="339"/>
    </row>
    <row r="396" spans="1:16" ht="28.5" customHeight="1">
      <c r="A396" s="196">
        <v>1</v>
      </c>
      <c r="B396" s="205" t="s">
        <v>21</v>
      </c>
      <c r="C396" s="17">
        <f>D396+E396+G396</f>
        <v>1156231.56</v>
      </c>
      <c r="D396" s="17"/>
      <c r="E396" s="17"/>
      <c r="F396" s="17">
        <v>660</v>
      </c>
      <c r="G396" s="17">
        <v>1156231.56</v>
      </c>
      <c r="H396" s="19"/>
      <c r="I396" s="19"/>
      <c r="J396" s="19"/>
      <c r="K396" s="19"/>
      <c r="L396" s="229"/>
      <c r="M396" s="153"/>
      <c r="N396" s="153"/>
      <c r="O396" s="153"/>
      <c r="P396" s="206"/>
    </row>
    <row r="397" spans="1:16" ht="28.5" customHeight="1">
      <c r="A397" s="196">
        <v>2</v>
      </c>
      <c r="B397" s="205" t="s">
        <v>22</v>
      </c>
      <c r="C397" s="17">
        <f>D397+E397+G397</f>
        <v>1016176.38</v>
      </c>
      <c r="D397" s="17"/>
      <c r="E397" s="17"/>
      <c r="F397" s="17">
        <v>435</v>
      </c>
      <c r="G397" s="17">
        <v>1016176.38</v>
      </c>
      <c r="H397" s="19"/>
      <c r="I397" s="19"/>
      <c r="J397" s="17"/>
      <c r="K397" s="19"/>
      <c r="L397" s="229"/>
      <c r="M397" s="153"/>
      <c r="N397" s="153"/>
      <c r="O397" s="153"/>
      <c r="P397" s="206"/>
    </row>
    <row r="398" spans="1:16" ht="27.75" customHeight="1">
      <c r="A398" s="196">
        <v>3</v>
      </c>
      <c r="B398" s="205" t="s">
        <v>1172</v>
      </c>
      <c r="C398" s="17">
        <f>D398+E398+G398</f>
        <v>1456378.92</v>
      </c>
      <c r="D398" s="17"/>
      <c r="E398" s="17"/>
      <c r="F398" s="17">
        <v>865.5</v>
      </c>
      <c r="G398" s="17">
        <v>1456378.92</v>
      </c>
      <c r="H398" s="19"/>
      <c r="I398" s="19"/>
      <c r="J398" s="17"/>
      <c r="K398" s="19"/>
      <c r="L398" s="229"/>
      <c r="M398" s="153"/>
      <c r="N398" s="153"/>
      <c r="O398" s="153"/>
      <c r="P398" s="206"/>
    </row>
    <row r="399" spans="1:16" ht="12.75">
      <c r="A399" s="198"/>
      <c r="B399" s="202" t="s">
        <v>380</v>
      </c>
      <c r="C399" s="201">
        <f>SUM(C396:C398)</f>
        <v>3628786.86</v>
      </c>
      <c r="D399" s="201"/>
      <c r="E399" s="201"/>
      <c r="F399" s="201">
        <f>SUM(F396:F398)</f>
        <v>1960.5</v>
      </c>
      <c r="G399" s="201">
        <f>SUM(G396:G398)</f>
        <v>3628786.86</v>
      </c>
      <c r="H399" s="153"/>
      <c r="I399" s="153"/>
      <c r="J399" s="153"/>
      <c r="K399" s="153"/>
      <c r="L399" s="153"/>
      <c r="M399" s="153"/>
      <c r="N399" s="153"/>
      <c r="O399" s="153"/>
      <c r="P399" s="206"/>
    </row>
    <row r="400" spans="1:16" ht="15" customHeight="1">
      <c r="A400" s="337" t="s">
        <v>1666</v>
      </c>
      <c r="B400" s="338"/>
      <c r="C400" s="338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339"/>
    </row>
    <row r="401" spans="1:16" ht="25.5">
      <c r="A401" s="200">
        <v>4</v>
      </c>
      <c r="B401" s="205" t="s">
        <v>23</v>
      </c>
      <c r="C401" s="17">
        <f>D401+E401+G401</f>
        <v>2300018.73</v>
      </c>
      <c r="D401" s="17"/>
      <c r="E401" s="17"/>
      <c r="F401" s="17">
        <v>788</v>
      </c>
      <c r="G401" s="17">
        <v>2300018.73</v>
      </c>
      <c r="H401" s="153"/>
      <c r="I401" s="153"/>
      <c r="J401" s="153"/>
      <c r="K401" s="153"/>
      <c r="L401" s="153"/>
      <c r="M401" s="153"/>
      <c r="N401" s="153"/>
      <c r="O401" s="153"/>
      <c r="P401" s="206"/>
    </row>
    <row r="402" spans="1:16" ht="25.5">
      <c r="A402" s="200">
        <v>5</v>
      </c>
      <c r="B402" s="20" t="s">
        <v>576</v>
      </c>
      <c r="C402" s="17">
        <f>D402+E402+G402</f>
        <v>2159699.36</v>
      </c>
      <c r="D402" s="17"/>
      <c r="E402" s="17"/>
      <c r="F402" s="17">
        <v>788</v>
      </c>
      <c r="G402" s="17">
        <v>2159699.36</v>
      </c>
      <c r="H402" s="153"/>
      <c r="I402" s="153"/>
      <c r="J402" s="153"/>
      <c r="K402" s="153"/>
      <c r="L402" s="153"/>
      <c r="M402" s="153"/>
      <c r="N402" s="153"/>
      <c r="O402" s="153"/>
      <c r="P402" s="206"/>
    </row>
    <row r="403" spans="1:16" ht="12.75">
      <c r="A403" s="198"/>
      <c r="B403" s="202" t="s">
        <v>380</v>
      </c>
      <c r="C403" s="201">
        <f>SUM(C401:C402)</f>
        <v>4459718.09</v>
      </c>
      <c r="D403" s="201"/>
      <c r="E403" s="201"/>
      <c r="F403" s="201">
        <f>SUM(F401:F402)</f>
        <v>1576</v>
      </c>
      <c r="G403" s="201">
        <f>SUM(G401:G402)</f>
        <v>4459718.09</v>
      </c>
      <c r="H403" s="153"/>
      <c r="I403" s="153"/>
      <c r="J403" s="153"/>
      <c r="K403" s="153"/>
      <c r="L403" s="153"/>
      <c r="M403" s="153"/>
      <c r="N403" s="153"/>
      <c r="O403" s="153"/>
      <c r="P403" s="206"/>
    </row>
    <row r="404" spans="1:16" ht="14.25" customHeight="1">
      <c r="A404" s="337" t="s">
        <v>1667</v>
      </c>
      <c r="B404" s="338"/>
      <c r="C404" s="338"/>
      <c r="D404" s="338"/>
      <c r="E404" s="338"/>
      <c r="F404" s="338"/>
      <c r="G404" s="338"/>
      <c r="H404" s="338"/>
      <c r="I404" s="338"/>
      <c r="J404" s="338"/>
      <c r="K404" s="338"/>
      <c r="L404" s="338"/>
      <c r="M404" s="338"/>
      <c r="N404" s="338"/>
      <c r="O404" s="338"/>
      <c r="P404" s="339"/>
    </row>
    <row r="405" spans="1:16" ht="25.5">
      <c r="A405" s="196">
        <v>6</v>
      </c>
      <c r="B405" s="205" t="s">
        <v>24</v>
      </c>
      <c r="C405" s="17">
        <f>D405+E405+G405</f>
        <v>2029479.98</v>
      </c>
      <c r="D405" s="203"/>
      <c r="E405" s="153"/>
      <c r="F405" s="153">
        <v>677.4</v>
      </c>
      <c r="G405" s="17">
        <v>2029479.98</v>
      </c>
      <c r="H405" s="153"/>
      <c r="I405" s="153"/>
      <c r="J405" s="153"/>
      <c r="K405" s="153"/>
      <c r="L405" s="153"/>
      <c r="M405" s="153"/>
      <c r="N405" s="153"/>
      <c r="O405" s="153"/>
      <c r="P405" s="206"/>
    </row>
    <row r="406" spans="1:16" ht="25.5">
      <c r="A406" s="196">
        <v>7</v>
      </c>
      <c r="B406" s="20" t="s">
        <v>1142</v>
      </c>
      <c r="C406" s="17">
        <f>D406+E406+G406</f>
        <v>1548131.08</v>
      </c>
      <c r="D406" s="203"/>
      <c r="E406" s="153"/>
      <c r="F406" s="153">
        <v>522</v>
      </c>
      <c r="G406" s="17">
        <v>1548131.08</v>
      </c>
      <c r="H406" s="153"/>
      <c r="I406" s="153"/>
      <c r="J406" s="153"/>
      <c r="K406" s="153"/>
      <c r="L406" s="153"/>
      <c r="M406" s="153"/>
      <c r="N406" s="153"/>
      <c r="O406" s="153"/>
      <c r="P406" s="206"/>
    </row>
    <row r="407" spans="1:16" ht="25.5">
      <c r="A407" s="196">
        <v>8</v>
      </c>
      <c r="B407" s="205" t="s">
        <v>25</v>
      </c>
      <c r="C407" s="17">
        <f>D407+E407+G407</f>
        <v>1604215.93</v>
      </c>
      <c r="D407" s="17">
        <v>1604215.93</v>
      </c>
      <c r="E407" s="153"/>
      <c r="F407" s="8"/>
      <c r="G407" s="153"/>
      <c r="H407" s="153"/>
      <c r="I407" s="153"/>
      <c r="J407" s="153"/>
      <c r="K407" s="153"/>
      <c r="L407" s="153"/>
      <c r="M407" s="153"/>
      <c r="N407" s="153"/>
      <c r="O407" s="153"/>
      <c r="P407" s="206"/>
    </row>
    <row r="408" spans="1:16" ht="25.5">
      <c r="A408" s="196">
        <v>9</v>
      </c>
      <c r="B408" s="20" t="s">
        <v>578</v>
      </c>
      <c r="C408" s="17">
        <f>D408+E408+G408</f>
        <v>1460020.65</v>
      </c>
      <c r="D408" s="203"/>
      <c r="E408" s="153"/>
      <c r="F408" s="8">
        <v>515.68</v>
      </c>
      <c r="G408" s="17">
        <v>1460020.65</v>
      </c>
      <c r="H408" s="153"/>
      <c r="I408" s="153"/>
      <c r="J408" s="153"/>
      <c r="K408" s="153"/>
      <c r="L408" s="153"/>
      <c r="M408" s="153"/>
      <c r="N408" s="153"/>
      <c r="O408" s="153"/>
      <c r="P408" s="206"/>
    </row>
    <row r="409" spans="1:16" ht="25.5">
      <c r="A409" s="196">
        <v>10</v>
      </c>
      <c r="B409" s="205" t="s">
        <v>26</v>
      </c>
      <c r="C409" s="17">
        <f>D409+E409+G409+I409+K409</f>
        <v>506693.2</v>
      </c>
      <c r="D409" s="203"/>
      <c r="E409" s="153"/>
      <c r="F409" s="8"/>
      <c r="G409" s="8"/>
      <c r="H409" s="153"/>
      <c r="I409" s="153"/>
      <c r="J409" s="153">
        <v>916.09</v>
      </c>
      <c r="K409" s="17">
        <v>506693.2</v>
      </c>
      <c r="L409" s="153"/>
      <c r="M409" s="153"/>
      <c r="N409" s="153"/>
      <c r="O409" s="153"/>
      <c r="P409" s="206"/>
    </row>
    <row r="410" spans="1:16" ht="25.5">
      <c r="A410" s="196">
        <v>11</v>
      </c>
      <c r="B410" s="205" t="s">
        <v>1483</v>
      </c>
      <c r="C410" s="17">
        <f>D410+E410+G410</f>
        <v>3106581.76</v>
      </c>
      <c r="D410" s="17"/>
      <c r="E410" s="17"/>
      <c r="F410" s="17">
        <v>924</v>
      </c>
      <c r="G410" s="230">
        <v>3106581.76</v>
      </c>
      <c r="H410" s="153"/>
      <c r="I410" s="153"/>
      <c r="J410" s="153"/>
      <c r="K410" s="153"/>
      <c r="L410" s="153"/>
      <c r="M410" s="153"/>
      <c r="N410" s="153"/>
      <c r="O410" s="153"/>
      <c r="P410" s="206"/>
    </row>
    <row r="411" spans="1:16" ht="14.25" customHeight="1">
      <c r="A411" s="196"/>
      <c r="B411" s="202" t="s">
        <v>380</v>
      </c>
      <c r="C411" s="201">
        <f>SUM(C405:C410)</f>
        <v>10255122.600000001</v>
      </c>
      <c r="D411" s="201">
        <f aca="true" t="shared" si="17" ref="D411:K411">SUM(D405:D410)</f>
        <v>1604215.93</v>
      </c>
      <c r="E411" s="201"/>
      <c r="F411" s="201">
        <f t="shared" si="17"/>
        <v>2639.08</v>
      </c>
      <c r="G411" s="201">
        <f t="shared" si="17"/>
        <v>8144213.47</v>
      </c>
      <c r="H411" s="201"/>
      <c r="I411" s="201"/>
      <c r="J411" s="201">
        <f t="shared" si="17"/>
        <v>916.09</v>
      </c>
      <c r="K411" s="201">
        <f t="shared" si="17"/>
        <v>506693.2</v>
      </c>
      <c r="L411" s="207"/>
      <c r="M411" s="207"/>
      <c r="N411" s="201"/>
      <c r="O411" s="153"/>
      <c r="P411" s="206"/>
    </row>
    <row r="412" spans="1:16" ht="14.25" customHeight="1">
      <c r="A412" s="337" t="s">
        <v>1618</v>
      </c>
      <c r="B412" s="338"/>
      <c r="C412" s="338"/>
      <c r="D412" s="338"/>
      <c r="E412" s="338"/>
      <c r="F412" s="338"/>
      <c r="G412" s="338"/>
      <c r="H412" s="338"/>
      <c r="I412" s="338"/>
      <c r="J412" s="338"/>
      <c r="K412" s="338"/>
      <c r="L412" s="338"/>
      <c r="M412" s="338"/>
      <c r="N412" s="338"/>
      <c r="O412" s="338"/>
      <c r="P412" s="339"/>
    </row>
    <row r="413" spans="1:16" ht="25.5">
      <c r="A413" s="196">
        <v>12</v>
      </c>
      <c r="B413" s="205" t="s">
        <v>27</v>
      </c>
      <c r="C413" s="17">
        <f>D413+E413+G413</f>
        <v>1612655.99</v>
      </c>
      <c r="D413" s="17"/>
      <c r="E413" s="17"/>
      <c r="F413" s="17">
        <v>1027.96</v>
      </c>
      <c r="G413" s="17">
        <v>1612655.99</v>
      </c>
      <c r="H413" s="153"/>
      <c r="I413" s="153"/>
      <c r="J413" s="153"/>
      <c r="K413" s="153"/>
      <c r="L413" s="153"/>
      <c r="M413" s="153"/>
      <c r="N413" s="153"/>
      <c r="O413" s="153"/>
      <c r="P413" s="206"/>
    </row>
    <row r="414" spans="1:16" ht="25.5">
      <c r="A414" s="196">
        <v>13</v>
      </c>
      <c r="B414" s="205" t="s">
        <v>1315</v>
      </c>
      <c r="C414" s="17">
        <f>D414+E414+G414</f>
        <v>2641882.22</v>
      </c>
      <c r="D414" s="17">
        <v>1905652.12</v>
      </c>
      <c r="E414" s="17"/>
      <c r="F414" s="17">
        <v>489.03</v>
      </c>
      <c r="G414" s="17">
        <v>736230.1</v>
      </c>
      <c r="H414" s="153"/>
      <c r="I414" s="153"/>
      <c r="J414" s="153"/>
      <c r="K414" s="153"/>
      <c r="L414" s="153"/>
      <c r="M414" s="153"/>
      <c r="N414" s="153"/>
      <c r="O414" s="153"/>
      <c r="P414" s="206"/>
    </row>
    <row r="415" spans="1:16" ht="25.5">
      <c r="A415" s="196">
        <v>14</v>
      </c>
      <c r="B415" s="205" t="s">
        <v>1316</v>
      </c>
      <c r="C415" s="17">
        <f>D415+E415+G415</f>
        <v>1817629.47</v>
      </c>
      <c r="D415" s="17"/>
      <c r="E415" s="17"/>
      <c r="F415" s="17">
        <v>753.18</v>
      </c>
      <c r="G415" s="17">
        <v>1817629.47</v>
      </c>
      <c r="H415" s="153"/>
      <c r="I415" s="153"/>
      <c r="J415" s="153"/>
      <c r="K415" s="153"/>
      <c r="L415" s="153"/>
      <c r="M415" s="153"/>
      <c r="N415" s="153"/>
      <c r="O415" s="153"/>
      <c r="P415" s="206"/>
    </row>
    <row r="416" spans="1:16" ht="12.75">
      <c r="A416" s="196"/>
      <c r="B416" s="202" t="s">
        <v>1379</v>
      </c>
      <c r="C416" s="201">
        <f>SUM(C413:C415)</f>
        <v>6072167.68</v>
      </c>
      <c r="D416" s="201">
        <f>SUM(D413:D415)</f>
        <v>1905652.12</v>
      </c>
      <c r="E416" s="201"/>
      <c r="F416" s="201">
        <f>SUM(F413:F415)</f>
        <v>2270.17</v>
      </c>
      <c r="G416" s="201">
        <f>SUM(G413:G415)</f>
        <v>4166515.5599999996</v>
      </c>
      <c r="H416" s="201"/>
      <c r="I416" s="201"/>
      <c r="J416" s="201"/>
      <c r="K416" s="201"/>
      <c r="L416" s="201"/>
      <c r="M416" s="201"/>
      <c r="N416" s="153"/>
      <c r="O416" s="153"/>
      <c r="P416" s="206"/>
    </row>
    <row r="417" spans="1:16" ht="16.5" customHeight="1">
      <c r="A417" s="337" t="s">
        <v>378</v>
      </c>
      <c r="B417" s="338"/>
      <c r="C417" s="338"/>
      <c r="D417" s="338"/>
      <c r="E417" s="338"/>
      <c r="F417" s="338"/>
      <c r="G417" s="338"/>
      <c r="H417" s="338"/>
      <c r="I417" s="338"/>
      <c r="J417" s="338"/>
      <c r="K417" s="338"/>
      <c r="L417" s="338"/>
      <c r="M417" s="338"/>
      <c r="N417" s="338"/>
      <c r="O417" s="338"/>
      <c r="P417" s="339"/>
    </row>
    <row r="418" spans="1:16" ht="25.5">
      <c r="A418" s="196">
        <v>15</v>
      </c>
      <c r="B418" s="205" t="s">
        <v>28</v>
      </c>
      <c r="C418" s="17">
        <f>D418+E418+G418+I418+K418+M418</f>
        <v>785333.42</v>
      </c>
      <c r="D418" s="17"/>
      <c r="E418" s="17"/>
      <c r="F418" s="17">
        <v>343</v>
      </c>
      <c r="G418" s="17">
        <v>785333.42</v>
      </c>
      <c r="H418" s="8"/>
      <c r="I418" s="8"/>
      <c r="J418" s="8"/>
      <c r="K418" s="8"/>
      <c r="L418" s="8"/>
      <c r="M418" s="8"/>
      <c r="N418" s="8"/>
      <c r="O418" s="8"/>
      <c r="P418" s="206"/>
    </row>
    <row r="419" spans="1:16" ht="25.5">
      <c r="A419" s="196">
        <v>16</v>
      </c>
      <c r="B419" s="205" t="s">
        <v>151</v>
      </c>
      <c r="C419" s="17">
        <f>D419+E419+G419+I419+K419+M419</f>
        <v>327733.17</v>
      </c>
      <c r="D419" s="17">
        <v>327733.17</v>
      </c>
      <c r="E419" s="17"/>
      <c r="F419" s="17"/>
      <c r="G419" s="17"/>
      <c r="H419" s="8"/>
      <c r="I419" s="8"/>
      <c r="J419" s="8"/>
      <c r="K419" s="8"/>
      <c r="L419" s="8"/>
      <c r="M419" s="8"/>
      <c r="N419" s="8"/>
      <c r="O419" s="8"/>
      <c r="P419" s="206"/>
    </row>
    <row r="420" spans="1:16" ht="25.5">
      <c r="A420" s="196">
        <v>17</v>
      </c>
      <c r="B420" s="20" t="s">
        <v>659</v>
      </c>
      <c r="C420" s="17">
        <f>D420+E420+G420+I420+K420+M420</f>
        <v>418299.48</v>
      </c>
      <c r="D420" s="17">
        <v>418299.48</v>
      </c>
      <c r="E420" s="17"/>
      <c r="F420" s="17"/>
      <c r="G420" s="17"/>
      <c r="H420" s="8"/>
      <c r="I420" s="17"/>
      <c r="J420" s="8"/>
      <c r="K420" s="8"/>
      <c r="L420" s="8"/>
      <c r="M420" s="8"/>
      <c r="N420" s="8"/>
      <c r="O420" s="8"/>
      <c r="P420" s="206"/>
    </row>
    <row r="421" spans="1:16" ht="25.5">
      <c r="A421" s="196">
        <v>18</v>
      </c>
      <c r="B421" s="20" t="s">
        <v>1163</v>
      </c>
      <c r="C421" s="17">
        <f>D421+E421+G421+I421+K421+M421</f>
        <v>2202302.95</v>
      </c>
      <c r="D421" s="231"/>
      <c r="E421" s="232"/>
      <c r="F421" s="233"/>
      <c r="G421" s="233"/>
      <c r="H421" s="232"/>
      <c r="I421" s="232"/>
      <c r="J421" s="232"/>
      <c r="K421" s="51"/>
      <c r="L421" s="17">
        <v>562</v>
      </c>
      <c r="M421" s="17">
        <v>2202302.95</v>
      </c>
      <c r="N421" s="8"/>
      <c r="O421" s="8"/>
      <c r="P421" s="206"/>
    </row>
    <row r="422" spans="1:16" ht="25.5">
      <c r="A422" s="196">
        <v>19</v>
      </c>
      <c r="B422" s="20" t="s">
        <v>1164</v>
      </c>
      <c r="C422" s="17">
        <f>D422+E422+G422+I422+K422+M422</f>
        <v>744683.86</v>
      </c>
      <c r="D422" s="17">
        <v>744683.86</v>
      </c>
      <c r="E422" s="8"/>
      <c r="F422" s="8"/>
      <c r="G422" s="8"/>
      <c r="H422" s="8"/>
      <c r="I422" s="8"/>
      <c r="J422" s="8"/>
      <c r="K422" s="226"/>
      <c r="L422" s="226"/>
      <c r="M422" s="8"/>
      <c r="N422" s="8"/>
      <c r="O422" s="8"/>
      <c r="P422" s="206"/>
    </row>
    <row r="423" spans="1:16" ht="12.75">
      <c r="A423" s="198"/>
      <c r="B423" s="202" t="s">
        <v>380</v>
      </c>
      <c r="C423" s="201">
        <f>SUM(C418:C422)</f>
        <v>4478352.880000001</v>
      </c>
      <c r="D423" s="201">
        <f aca="true" t="shared" si="18" ref="D423:M423">SUM(D418:D422)</f>
        <v>1490716.5099999998</v>
      </c>
      <c r="E423" s="201"/>
      <c r="F423" s="201">
        <f t="shared" si="18"/>
        <v>343</v>
      </c>
      <c r="G423" s="201">
        <f t="shared" si="18"/>
        <v>785333.42</v>
      </c>
      <c r="H423" s="201"/>
      <c r="I423" s="201"/>
      <c r="J423" s="201"/>
      <c r="K423" s="201"/>
      <c r="L423" s="201">
        <f t="shared" si="18"/>
        <v>562</v>
      </c>
      <c r="M423" s="201">
        <f t="shared" si="18"/>
        <v>2202302.95</v>
      </c>
      <c r="N423" s="207"/>
      <c r="O423" s="8"/>
      <c r="P423" s="206"/>
    </row>
    <row r="424" spans="1:16" ht="14.25" customHeight="1">
      <c r="A424" s="337" t="s">
        <v>381</v>
      </c>
      <c r="B424" s="338"/>
      <c r="C424" s="338"/>
      <c r="D424" s="338"/>
      <c r="E424" s="338"/>
      <c r="F424" s="338"/>
      <c r="G424" s="338"/>
      <c r="H424" s="338"/>
      <c r="I424" s="338"/>
      <c r="J424" s="338"/>
      <c r="K424" s="338"/>
      <c r="L424" s="338"/>
      <c r="M424" s="338"/>
      <c r="N424" s="338"/>
      <c r="O424" s="338"/>
      <c r="P424" s="339"/>
    </row>
    <row r="425" spans="1:16" ht="25.5">
      <c r="A425" s="196">
        <v>20</v>
      </c>
      <c r="B425" s="205" t="s">
        <v>29</v>
      </c>
      <c r="C425" s="17">
        <f>D425+E425+G425+I425+K425+M425</f>
        <v>1418264.18</v>
      </c>
      <c r="D425" s="17"/>
      <c r="E425" s="17"/>
      <c r="F425" s="17">
        <v>650</v>
      </c>
      <c r="G425" s="17">
        <v>1418264.18</v>
      </c>
      <c r="H425" s="153"/>
      <c r="I425" s="153"/>
      <c r="J425" s="153"/>
      <c r="K425" s="153"/>
      <c r="L425" s="153"/>
      <c r="M425" s="153"/>
      <c r="N425" s="153"/>
      <c r="O425" s="153"/>
      <c r="P425" s="206"/>
    </row>
    <row r="426" spans="1:16" ht="25.5">
      <c r="A426" s="196">
        <v>21</v>
      </c>
      <c r="B426" s="205" t="s">
        <v>440</v>
      </c>
      <c r="C426" s="17">
        <f aca="true" t="shared" si="19" ref="C426:C431">D426+E426+G426+I426+K426+M426</f>
        <v>1127941.25</v>
      </c>
      <c r="D426" s="17">
        <v>116577.22</v>
      </c>
      <c r="E426" s="17"/>
      <c r="F426" s="17">
        <v>329.47</v>
      </c>
      <c r="G426" s="17">
        <v>1011364.03</v>
      </c>
      <c r="H426" s="153"/>
      <c r="I426" s="153"/>
      <c r="J426" s="153"/>
      <c r="K426" s="153"/>
      <c r="L426" s="153"/>
      <c r="M426" s="153"/>
      <c r="N426" s="153"/>
      <c r="O426" s="153"/>
      <c r="P426" s="206"/>
    </row>
    <row r="427" spans="1:16" ht="25.5">
      <c r="A427" s="196">
        <v>22</v>
      </c>
      <c r="B427" s="205" t="s">
        <v>441</v>
      </c>
      <c r="C427" s="17">
        <f t="shared" si="19"/>
        <v>1338704.97</v>
      </c>
      <c r="D427" s="17">
        <v>207170.3</v>
      </c>
      <c r="E427" s="17"/>
      <c r="F427" s="17">
        <v>335</v>
      </c>
      <c r="G427" s="17">
        <v>1131534.67</v>
      </c>
      <c r="H427" s="153"/>
      <c r="I427" s="153"/>
      <c r="J427" s="153"/>
      <c r="K427" s="153"/>
      <c r="L427" s="153"/>
      <c r="M427" s="153"/>
      <c r="N427" s="153"/>
      <c r="O427" s="153"/>
      <c r="P427" s="206"/>
    </row>
    <row r="428" spans="1:16" ht="25.5">
      <c r="A428" s="196">
        <v>23</v>
      </c>
      <c r="B428" s="205" t="s">
        <v>442</v>
      </c>
      <c r="C428" s="17">
        <f t="shared" si="19"/>
        <v>875289.82</v>
      </c>
      <c r="D428" s="17"/>
      <c r="E428" s="17"/>
      <c r="F428" s="17">
        <v>343.98</v>
      </c>
      <c r="G428" s="17">
        <v>875289.82</v>
      </c>
      <c r="H428" s="153"/>
      <c r="I428" s="153"/>
      <c r="J428" s="153"/>
      <c r="K428" s="153"/>
      <c r="L428" s="153"/>
      <c r="M428" s="153"/>
      <c r="N428" s="153"/>
      <c r="O428" s="153"/>
      <c r="P428" s="206"/>
    </row>
    <row r="429" spans="1:16" ht="25.5">
      <c r="A429" s="196">
        <v>24</v>
      </c>
      <c r="B429" s="205" t="s">
        <v>584</v>
      </c>
      <c r="C429" s="17">
        <f t="shared" si="19"/>
        <v>2155275.13</v>
      </c>
      <c r="D429" s="17">
        <v>246078.98</v>
      </c>
      <c r="E429" s="17"/>
      <c r="F429" s="17">
        <v>656.84</v>
      </c>
      <c r="G429" s="17">
        <v>1909196.15</v>
      </c>
      <c r="H429" s="153"/>
      <c r="I429" s="153"/>
      <c r="J429" s="153"/>
      <c r="K429" s="153"/>
      <c r="L429" s="153"/>
      <c r="M429" s="153"/>
      <c r="N429" s="153"/>
      <c r="O429" s="153"/>
      <c r="P429" s="206"/>
    </row>
    <row r="430" spans="1:16" ht="16.5" customHeight="1">
      <c r="A430" s="196">
        <v>25</v>
      </c>
      <c r="B430" s="205" t="s">
        <v>1228</v>
      </c>
      <c r="C430" s="17">
        <f t="shared" si="19"/>
        <v>3097590.5300000003</v>
      </c>
      <c r="D430" s="17">
        <v>1112402.29</v>
      </c>
      <c r="E430" s="234"/>
      <c r="F430" s="17">
        <v>690</v>
      </c>
      <c r="G430" s="17">
        <v>1985188.24</v>
      </c>
      <c r="H430" s="153"/>
      <c r="I430" s="153"/>
      <c r="J430" s="153"/>
      <c r="K430" s="153"/>
      <c r="L430" s="153"/>
      <c r="M430" s="153"/>
      <c r="N430" s="153"/>
      <c r="O430" s="153"/>
      <c r="P430" s="206"/>
    </row>
    <row r="431" spans="1:16" ht="25.5">
      <c r="A431" s="196">
        <v>26</v>
      </c>
      <c r="B431" s="205" t="s">
        <v>1157</v>
      </c>
      <c r="C431" s="17">
        <f t="shared" si="19"/>
        <v>920545.9099999999</v>
      </c>
      <c r="D431" s="17">
        <v>130917.68</v>
      </c>
      <c r="E431" s="17"/>
      <c r="F431" s="17">
        <v>280</v>
      </c>
      <c r="G431" s="17">
        <v>789628.23</v>
      </c>
      <c r="H431" s="153"/>
      <c r="I431" s="153"/>
      <c r="J431" s="153"/>
      <c r="K431" s="153"/>
      <c r="L431" s="153"/>
      <c r="M431" s="153"/>
      <c r="N431" s="153"/>
      <c r="O431" s="153"/>
      <c r="P431" s="206"/>
    </row>
    <row r="432" spans="1:16" ht="12.75">
      <c r="A432" s="196"/>
      <c r="B432" s="202" t="s">
        <v>380</v>
      </c>
      <c r="C432" s="201">
        <f>SUM(C425:C431)</f>
        <v>10933611.79</v>
      </c>
      <c r="D432" s="201">
        <f>SUM(D425:D431)</f>
        <v>1813146.47</v>
      </c>
      <c r="E432" s="201"/>
      <c r="F432" s="201">
        <f>SUM(F425:F431)</f>
        <v>3285.29</v>
      </c>
      <c r="G432" s="201">
        <f>SUM(G425:G431)</f>
        <v>9120465.32</v>
      </c>
      <c r="H432" s="201"/>
      <c r="I432" s="201"/>
      <c r="J432" s="201"/>
      <c r="K432" s="201"/>
      <c r="L432" s="201"/>
      <c r="M432" s="201"/>
      <c r="N432" s="153"/>
      <c r="O432" s="153"/>
      <c r="P432" s="206"/>
    </row>
    <row r="433" spans="1:16" ht="14.25" customHeight="1">
      <c r="A433" s="337" t="s">
        <v>1378</v>
      </c>
      <c r="B433" s="338"/>
      <c r="C433" s="338"/>
      <c r="D433" s="338"/>
      <c r="E433" s="338"/>
      <c r="F433" s="338"/>
      <c r="G433" s="338"/>
      <c r="H433" s="338"/>
      <c r="I433" s="338"/>
      <c r="J433" s="338"/>
      <c r="K433" s="338"/>
      <c r="L433" s="338"/>
      <c r="M433" s="338"/>
      <c r="N433" s="338"/>
      <c r="O433" s="338"/>
      <c r="P433" s="339"/>
    </row>
    <row r="434" spans="1:16" ht="25.5">
      <c r="A434" s="196">
        <v>27</v>
      </c>
      <c r="B434" s="205" t="s">
        <v>30</v>
      </c>
      <c r="C434" s="17">
        <f>D434+E434+G434</f>
        <v>2383068.27</v>
      </c>
      <c r="D434" s="17"/>
      <c r="E434" s="17"/>
      <c r="F434" s="17">
        <v>854.89</v>
      </c>
      <c r="G434" s="17">
        <v>2383068.27</v>
      </c>
      <c r="H434" s="20"/>
      <c r="I434" s="20"/>
      <c r="J434" s="20"/>
      <c r="K434" s="20"/>
      <c r="L434" s="20"/>
      <c r="M434" s="20"/>
      <c r="N434" s="20"/>
      <c r="O434" s="20"/>
      <c r="P434" s="206"/>
    </row>
    <row r="435" spans="1:16" ht="25.5">
      <c r="A435" s="196">
        <v>28</v>
      </c>
      <c r="B435" s="205" t="s">
        <v>31</v>
      </c>
      <c r="C435" s="17">
        <f>D435+E435+G435</f>
        <v>446226.66</v>
      </c>
      <c r="D435" s="17">
        <v>446226.66</v>
      </c>
      <c r="E435" s="17"/>
      <c r="F435" s="17"/>
      <c r="G435" s="17"/>
      <c r="H435" s="20"/>
      <c r="I435" s="20"/>
      <c r="J435" s="208"/>
      <c r="K435" s="20"/>
      <c r="L435" s="20"/>
      <c r="M435" s="20"/>
      <c r="N435" s="20"/>
      <c r="O435" s="20"/>
      <c r="P435" s="206"/>
    </row>
    <row r="436" spans="1:16" ht="12.75">
      <c r="A436" s="198"/>
      <c r="B436" s="202" t="s">
        <v>380</v>
      </c>
      <c r="C436" s="201">
        <f>SUM(C434:C435)</f>
        <v>2829294.93</v>
      </c>
      <c r="D436" s="201">
        <f>SUM(D434:D435)</f>
        <v>446226.66</v>
      </c>
      <c r="E436" s="201"/>
      <c r="F436" s="201">
        <f>SUM(F434:F435)</f>
        <v>854.89</v>
      </c>
      <c r="G436" s="201">
        <f>SUM(G434:G435)</f>
        <v>2383068.27</v>
      </c>
      <c r="H436" s="153"/>
      <c r="I436" s="153"/>
      <c r="J436" s="153"/>
      <c r="K436" s="153"/>
      <c r="L436" s="153"/>
      <c r="M436" s="153"/>
      <c r="N436" s="153"/>
      <c r="O436" s="20"/>
      <c r="P436" s="206"/>
    </row>
    <row r="437" spans="1:16" ht="14.25" customHeight="1">
      <c r="A437" s="337" t="s">
        <v>1669</v>
      </c>
      <c r="B437" s="338"/>
      <c r="C437" s="338"/>
      <c r="D437" s="338"/>
      <c r="E437" s="338"/>
      <c r="F437" s="338"/>
      <c r="G437" s="338"/>
      <c r="H437" s="338"/>
      <c r="I437" s="338"/>
      <c r="J437" s="338"/>
      <c r="K437" s="338"/>
      <c r="L437" s="338"/>
      <c r="M437" s="338"/>
      <c r="N437" s="338"/>
      <c r="O437" s="338"/>
      <c r="P437" s="339"/>
    </row>
    <row r="438" spans="1:16" ht="25.5">
      <c r="A438" s="196">
        <v>29</v>
      </c>
      <c r="B438" s="205" t="s">
        <v>32</v>
      </c>
      <c r="C438" s="17">
        <f>D438+E438+G438</f>
        <v>859294.65</v>
      </c>
      <c r="D438" s="17">
        <v>859294.65</v>
      </c>
      <c r="E438" s="17"/>
      <c r="F438" s="17"/>
      <c r="G438" s="17"/>
      <c r="H438" s="17"/>
      <c r="I438" s="17"/>
      <c r="J438" s="17"/>
      <c r="K438" s="17"/>
      <c r="L438" s="17"/>
      <c r="M438" s="17"/>
      <c r="N438" s="153"/>
      <c r="O438" s="153"/>
      <c r="P438" s="206"/>
    </row>
    <row r="439" spans="1:16" ht="25.5">
      <c r="A439" s="196">
        <v>30</v>
      </c>
      <c r="B439" s="205" t="s">
        <v>102</v>
      </c>
      <c r="C439" s="17">
        <f>D439+E439+G439</f>
        <v>2765442.58</v>
      </c>
      <c r="D439" s="17"/>
      <c r="E439" s="17"/>
      <c r="F439" s="17">
        <v>473.09</v>
      </c>
      <c r="G439" s="17">
        <v>2765442.58</v>
      </c>
      <c r="H439" s="17"/>
      <c r="I439" s="17"/>
      <c r="J439" s="17"/>
      <c r="K439" s="17"/>
      <c r="L439" s="17"/>
      <c r="M439" s="17"/>
      <c r="N439" s="153"/>
      <c r="O439" s="153"/>
      <c r="P439" s="206"/>
    </row>
    <row r="440" spans="1:16" ht="25.5">
      <c r="A440" s="196">
        <v>31</v>
      </c>
      <c r="B440" s="205" t="s">
        <v>113</v>
      </c>
      <c r="C440" s="17">
        <f>D440+E440+G440</f>
        <v>1210508.39</v>
      </c>
      <c r="D440" s="17"/>
      <c r="E440" s="17"/>
      <c r="F440" s="17">
        <v>360</v>
      </c>
      <c r="G440" s="17">
        <v>1210508.39</v>
      </c>
      <c r="H440" s="17"/>
      <c r="I440" s="17"/>
      <c r="J440" s="17"/>
      <c r="K440" s="17"/>
      <c r="L440" s="17"/>
      <c r="M440" s="17"/>
      <c r="N440" s="153"/>
      <c r="O440" s="153"/>
      <c r="P440" s="206"/>
    </row>
    <row r="441" spans="1:16" ht="12.75">
      <c r="A441" s="198"/>
      <c r="B441" s="202" t="s">
        <v>380</v>
      </c>
      <c r="C441" s="201">
        <f>SUM(C438:C440)</f>
        <v>4835245.62</v>
      </c>
      <c r="D441" s="201">
        <f>SUM(D438:D440)</f>
        <v>859294.65</v>
      </c>
      <c r="E441" s="201"/>
      <c r="F441" s="201">
        <f>SUM(F438:F440)</f>
        <v>833.0899999999999</v>
      </c>
      <c r="G441" s="201">
        <f>SUM(G438:G440)</f>
        <v>3975950.9699999997</v>
      </c>
      <c r="H441" s="201"/>
      <c r="I441" s="201"/>
      <c r="J441" s="201"/>
      <c r="K441" s="201"/>
      <c r="L441" s="201"/>
      <c r="M441" s="201"/>
      <c r="N441" s="153"/>
      <c r="O441" s="153"/>
      <c r="P441" s="206"/>
    </row>
    <row r="442" spans="1:16" ht="13.5" customHeight="1">
      <c r="A442" s="337" t="s">
        <v>1360</v>
      </c>
      <c r="B442" s="338"/>
      <c r="C442" s="338"/>
      <c r="D442" s="338"/>
      <c r="E442" s="338"/>
      <c r="F442" s="338"/>
      <c r="G442" s="338"/>
      <c r="H442" s="338"/>
      <c r="I442" s="338"/>
      <c r="J442" s="338"/>
      <c r="K442" s="338"/>
      <c r="L442" s="338"/>
      <c r="M442" s="338"/>
      <c r="N442" s="338"/>
      <c r="O442" s="338"/>
      <c r="P442" s="339"/>
    </row>
    <row r="443" spans="1:16" ht="25.5">
      <c r="A443" s="196">
        <v>32</v>
      </c>
      <c r="B443" s="205" t="s">
        <v>33</v>
      </c>
      <c r="C443" s="17">
        <f>D443+E443+G443+I443+K443+M443</f>
        <v>1253126.29</v>
      </c>
      <c r="D443" s="17"/>
      <c r="E443" s="17"/>
      <c r="F443" s="17">
        <v>542</v>
      </c>
      <c r="G443" s="17">
        <v>1253126.29</v>
      </c>
      <c r="H443" s="17"/>
      <c r="I443" s="17"/>
      <c r="J443" s="17"/>
      <c r="K443" s="17"/>
      <c r="L443" s="17"/>
      <c r="M443" s="17"/>
      <c r="N443" s="73"/>
      <c r="O443" s="73"/>
      <c r="P443" s="206"/>
    </row>
    <row r="444" spans="1:16" ht="25.5">
      <c r="A444" s="196">
        <v>33</v>
      </c>
      <c r="B444" s="205" t="s">
        <v>34</v>
      </c>
      <c r="C444" s="17">
        <f aca="true" t="shared" si="20" ref="C444:C451">D444+E444+G444+I444+K444+M444</f>
        <v>1207013.74</v>
      </c>
      <c r="D444" s="17">
        <v>1207013.74</v>
      </c>
      <c r="E444" s="17"/>
      <c r="F444" s="17"/>
      <c r="G444" s="17"/>
      <c r="H444" s="17"/>
      <c r="I444" s="17"/>
      <c r="J444" s="17"/>
      <c r="K444" s="17"/>
      <c r="L444" s="17"/>
      <c r="M444" s="17"/>
      <c r="N444" s="73"/>
      <c r="O444" s="73"/>
      <c r="P444" s="206"/>
    </row>
    <row r="445" spans="1:16" ht="27" customHeight="1">
      <c r="A445" s="196">
        <v>34</v>
      </c>
      <c r="B445" s="20" t="s">
        <v>705</v>
      </c>
      <c r="C445" s="17">
        <f t="shared" si="20"/>
        <v>386803.4</v>
      </c>
      <c r="D445" s="17">
        <v>386803.4</v>
      </c>
      <c r="E445" s="17"/>
      <c r="F445" s="17"/>
      <c r="G445" s="17"/>
      <c r="H445" s="17"/>
      <c r="I445" s="17"/>
      <c r="J445" s="17"/>
      <c r="K445" s="17"/>
      <c r="L445" s="17"/>
      <c r="M445" s="17"/>
      <c r="N445" s="73"/>
      <c r="O445" s="73"/>
      <c r="P445" s="206"/>
    </row>
    <row r="446" spans="1:16" ht="27.75" customHeight="1">
      <c r="A446" s="196">
        <v>35</v>
      </c>
      <c r="B446" s="20" t="s">
        <v>706</v>
      </c>
      <c r="C446" s="17">
        <f t="shared" si="20"/>
        <v>184491.94</v>
      </c>
      <c r="D446" s="17">
        <v>184491.94</v>
      </c>
      <c r="E446" s="17"/>
      <c r="F446" s="17"/>
      <c r="G446" s="17"/>
      <c r="H446" s="17"/>
      <c r="I446" s="17"/>
      <c r="J446" s="17"/>
      <c r="K446" s="17"/>
      <c r="L446" s="17"/>
      <c r="M446" s="17"/>
      <c r="N446" s="73"/>
      <c r="O446" s="73"/>
      <c r="P446" s="206"/>
    </row>
    <row r="447" spans="1:16" ht="25.5">
      <c r="A447" s="196">
        <v>36</v>
      </c>
      <c r="B447" s="20" t="s">
        <v>707</v>
      </c>
      <c r="C447" s="17">
        <f t="shared" si="20"/>
        <v>798026.8899999999</v>
      </c>
      <c r="D447" s="17">
        <v>239078.81</v>
      </c>
      <c r="E447" s="17"/>
      <c r="F447" s="17">
        <v>380</v>
      </c>
      <c r="G447" s="17">
        <v>558948.08</v>
      </c>
      <c r="H447" s="17"/>
      <c r="I447" s="17"/>
      <c r="J447" s="17"/>
      <c r="K447" s="17"/>
      <c r="L447" s="17"/>
      <c r="M447" s="17"/>
      <c r="N447" s="73"/>
      <c r="O447" s="73"/>
      <c r="P447" s="206"/>
    </row>
    <row r="448" spans="1:16" ht="25.5">
      <c r="A448" s="196">
        <v>37</v>
      </c>
      <c r="B448" s="20" t="s">
        <v>708</v>
      </c>
      <c r="C448" s="17">
        <f t="shared" si="20"/>
        <v>2275390.86</v>
      </c>
      <c r="D448" s="17">
        <v>2275390.86</v>
      </c>
      <c r="E448" s="17"/>
      <c r="F448" s="17"/>
      <c r="G448" s="17"/>
      <c r="H448" s="17"/>
      <c r="I448" s="17"/>
      <c r="J448" s="17"/>
      <c r="K448" s="17"/>
      <c r="L448" s="17"/>
      <c r="M448" s="17"/>
      <c r="N448" s="73"/>
      <c r="O448" s="73"/>
      <c r="P448" s="206"/>
    </row>
    <row r="449" spans="1:16" ht="25.5">
      <c r="A449" s="196">
        <v>38</v>
      </c>
      <c r="B449" s="20" t="s">
        <v>108</v>
      </c>
      <c r="C449" s="17">
        <f t="shared" si="20"/>
        <v>1151018.7</v>
      </c>
      <c r="D449" s="235"/>
      <c r="E449" s="235"/>
      <c r="F449" s="236">
        <v>398.8</v>
      </c>
      <c r="G449" s="17">
        <v>1151018.7</v>
      </c>
      <c r="H449" s="17"/>
      <c r="I449" s="17"/>
      <c r="J449" s="17"/>
      <c r="K449" s="17"/>
      <c r="L449" s="17"/>
      <c r="M449" s="17"/>
      <c r="N449" s="73"/>
      <c r="O449" s="73"/>
      <c r="P449" s="206"/>
    </row>
    <row r="450" spans="1:16" ht="25.5">
      <c r="A450" s="196">
        <v>39</v>
      </c>
      <c r="B450" s="20" t="s">
        <v>107</v>
      </c>
      <c r="C450" s="17">
        <f t="shared" si="20"/>
        <v>1480367.18</v>
      </c>
      <c r="D450" s="235"/>
      <c r="E450" s="235"/>
      <c r="F450" s="236">
        <v>405</v>
      </c>
      <c r="G450" s="17">
        <v>1480367.18</v>
      </c>
      <c r="H450" s="17"/>
      <c r="I450" s="17"/>
      <c r="J450" s="17"/>
      <c r="K450" s="17"/>
      <c r="L450" s="17"/>
      <c r="M450" s="17"/>
      <c r="N450" s="73"/>
      <c r="O450" s="73"/>
      <c r="P450" s="206"/>
    </row>
    <row r="451" spans="1:16" ht="25.5">
      <c r="A451" s="196">
        <v>40</v>
      </c>
      <c r="B451" s="20" t="s">
        <v>369</v>
      </c>
      <c r="C451" s="17">
        <f t="shared" si="20"/>
        <v>779626.98</v>
      </c>
      <c r="D451" s="235"/>
      <c r="E451" s="235"/>
      <c r="F451" s="236">
        <v>232.7</v>
      </c>
      <c r="G451" s="17">
        <v>779626.98</v>
      </c>
      <c r="H451" s="17"/>
      <c r="I451" s="17"/>
      <c r="J451" s="17"/>
      <c r="K451" s="17"/>
      <c r="L451" s="17"/>
      <c r="M451" s="17"/>
      <c r="N451" s="73"/>
      <c r="O451" s="73"/>
      <c r="P451" s="206"/>
    </row>
    <row r="452" spans="1:16" ht="12.75">
      <c r="A452" s="198"/>
      <c r="B452" s="202" t="s">
        <v>380</v>
      </c>
      <c r="C452" s="201">
        <f>SUM(C443:C451)</f>
        <v>9515865.98</v>
      </c>
      <c r="D452" s="201">
        <f>SUM(D443:D451)</f>
        <v>4292778.75</v>
      </c>
      <c r="E452" s="201"/>
      <c r="F452" s="201">
        <f>SUM(F443:F451)</f>
        <v>1958.5</v>
      </c>
      <c r="G452" s="201">
        <f>SUM(G443:G451)</f>
        <v>5223087.23</v>
      </c>
      <c r="H452" s="201"/>
      <c r="I452" s="201"/>
      <c r="J452" s="201"/>
      <c r="K452" s="201"/>
      <c r="L452" s="201"/>
      <c r="M452" s="201"/>
      <c r="N452" s="153"/>
      <c r="O452" s="73"/>
      <c r="P452" s="206"/>
    </row>
    <row r="453" spans="1:16" ht="12.75">
      <c r="A453" s="337" t="s">
        <v>1361</v>
      </c>
      <c r="B453" s="338"/>
      <c r="C453" s="338"/>
      <c r="D453" s="338"/>
      <c r="E453" s="338"/>
      <c r="F453" s="338"/>
      <c r="G453" s="338"/>
      <c r="H453" s="338"/>
      <c r="I453" s="338"/>
      <c r="J453" s="338"/>
      <c r="K453" s="338"/>
      <c r="L453" s="338"/>
      <c r="M453" s="338"/>
      <c r="N453" s="338"/>
      <c r="O453" s="338"/>
      <c r="P453" s="339"/>
    </row>
    <row r="454" spans="1:16" ht="25.5">
      <c r="A454" s="196">
        <v>41</v>
      </c>
      <c r="B454" s="205" t="s">
        <v>35</v>
      </c>
      <c r="C454" s="17">
        <f aca="true" t="shared" si="21" ref="C454:C459">D454+E454+G454+I454+K454</f>
        <v>318481.76</v>
      </c>
      <c r="D454" s="17">
        <v>318481.76</v>
      </c>
      <c r="E454" s="8"/>
      <c r="F454" s="8"/>
      <c r="G454" s="8"/>
      <c r="H454" s="73"/>
      <c r="I454" s="73"/>
      <c r="J454" s="73"/>
      <c r="K454" s="73"/>
      <c r="L454" s="73"/>
      <c r="M454" s="73"/>
      <c r="N454" s="73"/>
      <c r="O454" s="73"/>
      <c r="P454" s="206"/>
    </row>
    <row r="455" spans="1:16" ht="25.5">
      <c r="A455" s="196">
        <v>42</v>
      </c>
      <c r="B455" s="205" t="s">
        <v>36</v>
      </c>
      <c r="C455" s="17">
        <f t="shared" si="21"/>
        <v>1381373.4000000001</v>
      </c>
      <c r="D455" s="17">
        <v>142474.09</v>
      </c>
      <c r="E455" s="17"/>
      <c r="F455" s="153">
        <v>325</v>
      </c>
      <c r="G455" s="17">
        <v>1238899.31</v>
      </c>
      <c r="H455" s="73"/>
      <c r="I455" s="73"/>
      <c r="J455" s="73"/>
      <c r="K455" s="73"/>
      <c r="L455" s="73"/>
      <c r="M455" s="73"/>
      <c r="N455" s="73"/>
      <c r="O455" s="73"/>
      <c r="P455" s="206"/>
    </row>
    <row r="456" spans="1:16" ht="25.5">
      <c r="A456" s="196">
        <v>43</v>
      </c>
      <c r="B456" s="20" t="s">
        <v>139</v>
      </c>
      <c r="C456" s="17">
        <f t="shared" si="21"/>
        <v>1324949.32</v>
      </c>
      <c r="D456" s="17">
        <v>1324949.32</v>
      </c>
      <c r="E456" s="8"/>
      <c r="F456" s="153"/>
      <c r="G456" s="8"/>
      <c r="H456" s="73"/>
      <c r="I456" s="201"/>
      <c r="J456" s="73"/>
      <c r="K456" s="73"/>
      <c r="L456" s="73"/>
      <c r="M456" s="73"/>
      <c r="N456" s="73"/>
      <c r="O456" s="73"/>
      <c r="P456" s="206"/>
    </row>
    <row r="457" spans="1:16" ht="25.5">
      <c r="A457" s="196">
        <v>44</v>
      </c>
      <c r="B457" s="20" t="s">
        <v>137</v>
      </c>
      <c r="C457" s="17">
        <f t="shared" si="21"/>
        <v>244620.17</v>
      </c>
      <c r="D457" s="17">
        <v>244620.17</v>
      </c>
      <c r="E457" s="8"/>
      <c r="F457" s="153"/>
      <c r="G457" s="8"/>
      <c r="H457" s="73"/>
      <c r="I457" s="73"/>
      <c r="J457" s="73"/>
      <c r="K457" s="73"/>
      <c r="L457" s="73"/>
      <c r="M457" s="73"/>
      <c r="N457" s="73"/>
      <c r="O457" s="73"/>
      <c r="P457" s="206"/>
    </row>
    <row r="458" spans="1:16" ht="25.5">
      <c r="A458" s="196">
        <v>45</v>
      </c>
      <c r="B458" s="20" t="s">
        <v>1529</v>
      </c>
      <c r="C458" s="17">
        <f t="shared" si="21"/>
        <v>621032.34</v>
      </c>
      <c r="D458" s="17">
        <v>621032.34</v>
      </c>
      <c r="E458" s="8"/>
      <c r="F458" s="153"/>
      <c r="G458" s="8"/>
      <c r="H458" s="73"/>
      <c r="I458" s="73"/>
      <c r="J458" s="17"/>
      <c r="K458" s="73"/>
      <c r="L458" s="73"/>
      <c r="M458" s="73"/>
      <c r="N458" s="73"/>
      <c r="O458" s="73"/>
      <c r="P458" s="206"/>
    </row>
    <row r="459" spans="1:16" ht="39.75" customHeight="1">
      <c r="A459" s="196">
        <v>46</v>
      </c>
      <c r="B459" s="20" t="s">
        <v>106</v>
      </c>
      <c r="C459" s="17">
        <f t="shared" si="21"/>
        <v>3776608.53</v>
      </c>
      <c r="D459" s="17">
        <v>938556.07</v>
      </c>
      <c r="E459" s="17"/>
      <c r="F459" s="17">
        <v>615.4</v>
      </c>
      <c r="G459" s="17">
        <v>2838052.46</v>
      </c>
      <c r="H459" s="73"/>
      <c r="I459" s="73"/>
      <c r="J459" s="17"/>
      <c r="K459" s="73"/>
      <c r="L459" s="73"/>
      <c r="M459" s="73"/>
      <c r="N459" s="73"/>
      <c r="O459" s="73"/>
      <c r="P459" s="206"/>
    </row>
    <row r="460" spans="1:16" ht="12.75">
      <c r="A460" s="198"/>
      <c r="B460" s="202" t="s">
        <v>380</v>
      </c>
      <c r="C460" s="201">
        <f>SUM(C454:C459)</f>
        <v>7667065.52</v>
      </c>
      <c r="D460" s="201">
        <f>SUM(D454:D459)</f>
        <v>3590113.7499999995</v>
      </c>
      <c r="E460" s="201"/>
      <c r="F460" s="201">
        <f>SUM(F454:F459)</f>
        <v>940.4</v>
      </c>
      <c r="G460" s="201">
        <f>SUM(G454:G459)</f>
        <v>4076951.77</v>
      </c>
      <c r="H460" s="153"/>
      <c r="I460" s="153"/>
      <c r="J460" s="153"/>
      <c r="K460" s="153"/>
      <c r="L460" s="153"/>
      <c r="M460" s="153"/>
      <c r="N460" s="153"/>
      <c r="O460" s="73"/>
      <c r="P460" s="206"/>
    </row>
    <row r="461" spans="1:16" ht="14.25" customHeight="1">
      <c r="A461" s="337" t="s">
        <v>1363</v>
      </c>
      <c r="B461" s="338"/>
      <c r="C461" s="338"/>
      <c r="D461" s="338"/>
      <c r="E461" s="338"/>
      <c r="F461" s="338"/>
      <c r="G461" s="338"/>
      <c r="H461" s="338"/>
      <c r="I461" s="338"/>
      <c r="J461" s="338"/>
      <c r="K461" s="338"/>
      <c r="L461" s="338"/>
      <c r="M461" s="338"/>
      <c r="N461" s="338"/>
      <c r="O461" s="338"/>
      <c r="P461" s="339"/>
    </row>
    <row r="462" spans="1:16" ht="25.5">
      <c r="A462" s="210">
        <v>47</v>
      </c>
      <c r="B462" s="237" t="s">
        <v>637</v>
      </c>
      <c r="C462" s="17">
        <f>D462+E462+G462</f>
        <v>242824.82</v>
      </c>
      <c r="D462" s="17">
        <v>242824.82</v>
      </c>
      <c r="E462" s="17"/>
      <c r="F462" s="17"/>
      <c r="G462" s="17"/>
      <c r="H462" s="153"/>
      <c r="I462" s="153"/>
      <c r="J462" s="153"/>
      <c r="K462" s="153"/>
      <c r="L462" s="153"/>
      <c r="M462" s="153"/>
      <c r="N462" s="153"/>
      <c r="O462" s="153"/>
      <c r="P462" s="206"/>
    </row>
    <row r="463" spans="1:16" ht="25.5">
      <c r="A463" s="196">
        <v>48</v>
      </c>
      <c r="B463" s="205" t="s">
        <v>37</v>
      </c>
      <c r="C463" s="17">
        <f>D463+E463+G463</f>
        <v>2582199.61</v>
      </c>
      <c r="D463" s="17"/>
      <c r="E463" s="17"/>
      <c r="F463" s="17">
        <v>1318.4</v>
      </c>
      <c r="G463" s="17">
        <v>2582199.61</v>
      </c>
      <c r="H463" s="153"/>
      <c r="I463" s="153"/>
      <c r="J463" s="153"/>
      <c r="K463" s="153"/>
      <c r="L463" s="153"/>
      <c r="M463" s="153"/>
      <c r="N463" s="153"/>
      <c r="O463" s="153"/>
      <c r="P463" s="206"/>
    </row>
    <row r="464" spans="1:16" ht="12.75">
      <c r="A464" s="198"/>
      <c r="B464" s="202" t="s">
        <v>380</v>
      </c>
      <c r="C464" s="201">
        <f>SUM(C462:C463)</f>
        <v>2825024.4299999997</v>
      </c>
      <c r="D464" s="201">
        <f>SUM(D462:D463)</f>
        <v>242824.82</v>
      </c>
      <c r="E464" s="201"/>
      <c r="F464" s="201">
        <f>SUM(F462:F463)</f>
        <v>1318.4</v>
      </c>
      <c r="G464" s="201">
        <f>SUM(G462:G463)</f>
        <v>2582199.61</v>
      </c>
      <c r="H464" s="153"/>
      <c r="I464" s="153"/>
      <c r="J464" s="153"/>
      <c r="K464" s="153"/>
      <c r="L464" s="153"/>
      <c r="M464" s="153"/>
      <c r="N464" s="153"/>
      <c r="O464" s="153"/>
      <c r="P464" s="206"/>
    </row>
    <row r="465" spans="1:16" ht="15" customHeight="1">
      <c r="A465" s="337" t="s">
        <v>375</v>
      </c>
      <c r="B465" s="338"/>
      <c r="C465" s="338"/>
      <c r="D465" s="338"/>
      <c r="E465" s="338"/>
      <c r="F465" s="338"/>
      <c r="G465" s="338"/>
      <c r="H465" s="338"/>
      <c r="I465" s="338"/>
      <c r="J465" s="338"/>
      <c r="K465" s="338"/>
      <c r="L465" s="338"/>
      <c r="M465" s="338"/>
      <c r="N465" s="338"/>
      <c r="O465" s="338"/>
      <c r="P465" s="339"/>
    </row>
    <row r="466" spans="1:16" ht="25.5">
      <c r="A466" s="196">
        <v>49</v>
      </c>
      <c r="B466" s="205" t="s">
        <v>1317</v>
      </c>
      <c r="C466" s="17">
        <f>D466+E466+G466+I466+K466+M466</f>
        <v>617921.16</v>
      </c>
      <c r="D466" s="17">
        <v>617921.16</v>
      </c>
      <c r="E466" s="17"/>
      <c r="F466" s="17"/>
      <c r="G466" s="17"/>
      <c r="H466" s="73"/>
      <c r="I466" s="73"/>
      <c r="J466" s="73"/>
      <c r="K466" s="73"/>
      <c r="L466" s="73"/>
      <c r="M466" s="73"/>
      <c r="N466" s="73"/>
      <c r="O466" s="73"/>
      <c r="P466" s="206"/>
    </row>
    <row r="467" spans="1:16" ht="25.5">
      <c r="A467" s="196">
        <v>50</v>
      </c>
      <c r="B467" s="205" t="s">
        <v>1318</v>
      </c>
      <c r="C467" s="17">
        <f>D467+E467+G467+I467+K467+M467</f>
        <v>3204402.24</v>
      </c>
      <c r="D467" s="238"/>
      <c r="E467" s="238"/>
      <c r="F467" s="17">
        <v>850</v>
      </c>
      <c r="G467" s="17">
        <v>3204402.24</v>
      </c>
      <c r="H467" s="17"/>
      <c r="I467" s="17"/>
      <c r="J467" s="17"/>
      <c r="K467" s="17"/>
      <c r="L467" s="17"/>
      <c r="M467" s="17"/>
      <c r="N467" s="73"/>
      <c r="O467" s="73"/>
      <c r="P467" s="206"/>
    </row>
    <row r="468" spans="1:16" ht="25.5">
      <c r="A468" s="196">
        <v>51</v>
      </c>
      <c r="B468" s="205" t="s">
        <v>1484</v>
      </c>
      <c r="C468" s="17">
        <f>D468+E468+G468+I468+K468+M468</f>
        <v>1480428.35</v>
      </c>
      <c r="D468" s="239"/>
      <c r="E468" s="239"/>
      <c r="F468" s="17"/>
      <c r="G468" s="17"/>
      <c r="H468" s="17"/>
      <c r="I468" s="17"/>
      <c r="J468" s="17"/>
      <c r="K468" s="17"/>
      <c r="L468" s="17">
        <v>496.4</v>
      </c>
      <c r="M468" s="17">
        <v>1480428.35</v>
      </c>
      <c r="N468" s="73"/>
      <c r="O468" s="73"/>
      <c r="P468" s="206"/>
    </row>
    <row r="469" spans="1:16" ht="12.75">
      <c r="A469" s="198"/>
      <c r="B469" s="202" t="s">
        <v>380</v>
      </c>
      <c r="C469" s="201">
        <f>SUM(C466:C468)</f>
        <v>5302751.75</v>
      </c>
      <c r="D469" s="201">
        <f>SUM(D466:D468)</f>
        <v>617921.16</v>
      </c>
      <c r="E469" s="201"/>
      <c r="F469" s="201">
        <f>SUM(F466:F468)</f>
        <v>850</v>
      </c>
      <c r="G469" s="201">
        <f>SUM(G466:G468)</f>
        <v>3204402.24</v>
      </c>
      <c r="H469" s="201"/>
      <c r="I469" s="201"/>
      <c r="J469" s="201"/>
      <c r="K469" s="201"/>
      <c r="L469" s="201">
        <f>SUM(L466:L468)</f>
        <v>496.4</v>
      </c>
      <c r="M469" s="201">
        <f>SUM(M466:M468)</f>
        <v>1480428.35</v>
      </c>
      <c r="N469" s="153"/>
      <c r="O469" s="73"/>
      <c r="P469" s="206"/>
    </row>
    <row r="470" spans="1:16" ht="14.25" customHeight="1">
      <c r="A470" s="337" t="s">
        <v>382</v>
      </c>
      <c r="B470" s="338"/>
      <c r="C470" s="338"/>
      <c r="D470" s="338"/>
      <c r="E470" s="338"/>
      <c r="F470" s="338"/>
      <c r="G470" s="338"/>
      <c r="H470" s="338"/>
      <c r="I470" s="338"/>
      <c r="J470" s="338"/>
      <c r="K470" s="338"/>
      <c r="L470" s="338"/>
      <c r="M470" s="338"/>
      <c r="N470" s="338"/>
      <c r="O470" s="338"/>
      <c r="P470" s="339"/>
    </row>
    <row r="471" spans="1:16" ht="25.5">
      <c r="A471" s="196">
        <v>52</v>
      </c>
      <c r="B471" s="205" t="s">
        <v>1319</v>
      </c>
      <c r="C471" s="17">
        <f>D471+E471+G471+I471+K471+M471</f>
        <v>180485.46</v>
      </c>
      <c r="D471" s="17">
        <v>180485.46</v>
      </c>
      <c r="E471" s="17"/>
      <c r="F471" s="17"/>
      <c r="G471" s="17"/>
      <c r="H471" s="153"/>
      <c r="I471" s="153"/>
      <c r="J471" s="153"/>
      <c r="K471" s="153"/>
      <c r="L471" s="153"/>
      <c r="M471" s="153"/>
      <c r="N471" s="153"/>
      <c r="O471" s="153"/>
      <c r="P471" s="206"/>
    </row>
    <row r="472" spans="1:16" ht="25.5">
      <c r="A472" s="196">
        <v>53</v>
      </c>
      <c r="B472" s="205" t="s">
        <v>1320</v>
      </c>
      <c r="C472" s="17">
        <f aca="true" t="shared" si="22" ref="C472:C482">D472+E472+G472+I472+K472+M472</f>
        <v>387118.48</v>
      </c>
      <c r="D472" s="17">
        <v>387118.48</v>
      </c>
      <c r="E472" s="17"/>
      <c r="F472" s="17"/>
      <c r="G472" s="17"/>
      <c r="H472" s="153"/>
      <c r="I472" s="153"/>
      <c r="J472" s="153"/>
      <c r="K472" s="153"/>
      <c r="L472" s="153"/>
      <c r="M472" s="153"/>
      <c r="N472" s="153"/>
      <c r="O472" s="153"/>
      <c r="P472" s="206"/>
    </row>
    <row r="473" spans="1:16" ht="25.5">
      <c r="A473" s="196">
        <v>54</v>
      </c>
      <c r="B473" s="205" t="s">
        <v>38</v>
      </c>
      <c r="C473" s="17">
        <f t="shared" si="22"/>
        <v>1159241.51</v>
      </c>
      <c r="D473" s="17">
        <v>201092.14</v>
      </c>
      <c r="E473" s="17"/>
      <c r="F473" s="17">
        <v>360.9</v>
      </c>
      <c r="G473" s="17">
        <v>958149.37</v>
      </c>
      <c r="H473" s="153"/>
      <c r="I473" s="153"/>
      <c r="J473" s="153"/>
      <c r="K473" s="153"/>
      <c r="L473" s="153"/>
      <c r="M473" s="153"/>
      <c r="N473" s="153"/>
      <c r="O473" s="153"/>
      <c r="P473" s="206"/>
    </row>
    <row r="474" spans="1:16" ht="25.5">
      <c r="A474" s="196">
        <v>55</v>
      </c>
      <c r="B474" s="205" t="s">
        <v>39</v>
      </c>
      <c r="C474" s="17">
        <f t="shared" si="22"/>
        <v>571952.6</v>
      </c>
      <c r="D474" s="17">
        <v>571952.6</v>
      </c>
      <c r="E474" s="17"/>
      <c r="F474" s="17"/>
      <c r="G474" s="17"/>
      <c r="H474" s="153"/>
      <c r="I474" s="153"/>
      <c r="J474" s="153"/>
      <c r="K474" s="153"/>
      <c r="L474" s="153"/>
      <c r="M474" s="153"/>
      <c r="N474" s="153"/>
      <c r="O474" s="153"/>
      <c r="P474" s="206"/>
    </row>
    <row r="475" spans="1:16" ht="25.5">
      <c r="A475" s="196">
        <v>56</v>
      </c>
      <c r="B475" s="205" t="s">
        <v>40</v>
      </c>
      <c r="C475" s="17">
        <f t="shared" si="22"/>
        <v>475212.58</v>
      </c>
      <c r="D475" s="17">
        <v>475212.58</v>
      </c>
      <c r="E475" s="17"/>
      <c r="F475" s="17"/>
      <c r="G475" s="17"/>
      <c r="H475" s="153"/>
      <c r="I475" s="153"/>
      <c r="J475" s="153"/>
      <c r="K475" s="153"/>
      <c r="L475" s="153"/>
      <c r="M475" s="153"/>
      <c r="N475" s="153"/>
      <c r="O475" s="153"/>
      <c r="P475" s="206"/>
    </row>
    <row r="476" spans="1:16" ht="27.75" customHeight="1">
      <c r="A476" s="196">
        <v>57</v>
      </c>
      <c r="B476" s="205" t="s">
        <v>671</v>
      </c>
      <c r="C476" s="17">
        <f t="shared" si="22"/>
        <v>323139.02</v>
      </c>
      <c r="D476" s="17">
        <v>323139.02</v>
      </c>
      <c r="E476" s="17"/>
      <c r="F476" s="17"/>
      <c r="G476" s="17"/>
      <c r="H476" s="153"/>
      <c r="I476" s="153"/>
      <c r="J476" s="153"/>
      <c r="K476" s="153"/>
      <c r="L476" s="153"/>
      <c r="M476" s="153"/>
      <c r="N476" s="153"/>
      <c r="O476" s="153"/>
      <c r="P476" s="206"/>
    </row>
    <row r="477" spans="1:16" ht="25.5">
      <c r="A477" s="196">
        <v>58</v>
      </c>
      <c r="B477" s="205" t="s">
        <v>727</v>
      </c>
      <c r="C477" s="17">
        <f t="shared" si="22"/>
        <v>992316.66</v>
      </c>
      <c r="D477" s="17"/>
      <c r="E477" s="17"/>
      <c r="F477" s="17">
        <v>840</v>
      </c>
      <c r="G477" s="17">
        <v>992316.66</v>
      </c>
      <c r="H477" s="153"/>
      <c r="I477" s="153"/>
      <c r="J477" s="153"/>
      <c r="K477" s="153"/>
      <c r="L477" s="153"/>
      <c r="M477" s="153"/>
      <c r="N477" s="153"/>
      <c r="O477" s="153"/>
      <c r="P477" s="206"/>
    </row>
    <row r="478" spans="1:16" ht="25.5">
      <c r="A478" s="196">
        <v>59</v>
      </c>
      <c r="B478" s="205" t="s">
        <v>642</v>
      </c>
      <c r="C478" s="17">
        <f t="shared" si="22"/>
        <v>1957540.1</v>
      </c>
      <c r="D478" s="17"/>
      <c r="E478" s="17"/>
      <c r="F478" s="17">
        <v>616</v>
      </c>
      <c r="G478" s="17">
        <v>1957540.1</v>
      </c>
      <c r="H478" s="153"/>
      <c r="I478" s="153"/>
      <c r="J478" s="153"/>
      <c r="K478" s="153"/>
      <c r="L478" s="153"/>
      <c r="M478" s="153"/>
      <c r="N478" s="153"/>
      <c r="O478" s="153"/>
      <c r="P478" s="206"/>
    </row>
    <row r="479" spans="1:16" ht="25.5">
      <c r="A479" s="196">
        <v>60</v>
      </c>
      <c r="B479" s="205" t="s">
        <v>401</v>
      </c>
      <c r="C479" s="17">
        <f t="shared" si="22"/>
        <v>2164623.53</v>
      </c>
      <c r="D479" s="17"/>
      <c r="E479" s="17"/>
      <c r="F479" s="17">
        <v>1641.83</v>
      </c>
      <c r="G479" s="17">
        <v>2164623.53</v>
      </c>
      <c r="H479" s="153"/>
      <c r="I479" s="153"/>
      <c r="J479" s="153"/>
      <c r="K479" s="153"/>
      <c r="L479" s="153"/>
      <c r="M479" s="153"/>
      <c r="N479" s="153"/>
      <c r="O479" s="153"/>
      <c r="P479" s="206"/>
    </row>
    <row r="480" spans="1:16" ht="25.5">
      <c r="A480" s="196">
        <v>61</v>
      </c>
      <c r="B480" s="205" t="s">
        <v>1321</v>
      </c>
      <c r="C480" s="17">
        <f t="shared" si="22"/>
        <v>2694610.52</v>
      </c>
      <c r="D480" s="17"/>
      <c r="E480" s="17"/>
      <c r="F480" s="17">
        <v>1686.1</v>
      </c>
      <c r="G480" s="17">
        <v>2694610.52</v>
      </c>
      <c r="H480" s="153"/>
      <c r="I480" s="153"/>
      <c r="J480" s="153"/>
      <c r="K480" s="153"/>
      <c r="L480" s="153"/>
      <c r="M480" s="153"/>
      <c r="N480" s="153"/>
      <c r="O480" s="153"/>
      <c r="P480" s="206"/>
    </row>
    <row r="481" spans="1:16" ht="25.5">
      <c r="A481" s="196">
        <v>62</v>
      </c>
      <c r="B481" s="205" t="s">
        <v>1322</v>
      </c>
      <c r="C481" s="17">
        <f t="shared" si="22"/>
        <v>2286486.74</v>
      </c>
      <c r="D481" s="17"/>
      <c r="E481" s="17"/>
      <c r="F481" s="17">
        <v>840.69</v>
      </c>
      <c r="G481" s="17">
        <v>2286486.74</v>
      </c>
      <c r="H481" s="153"/>
      <c r="I481" s="153"/>
      <c r="J481" s="153"/>
      <c r="K481" s="153"/>
      <c r="L481" s="153"/>
      <c r="M481" s="153"/>
      <c r="N481" s="153"/>
      <c r="O481" s="153"/>
      <c r="P481" s="206"/>
    </row>
    <row r="482" spans="1:16" ht="25.5">
      <c r="A482" s="196">
        <v>63</v>
      </c>
      <c r="B482" s="205" t="s">
        <v>1323</v>
      </c>
      <c r="C482" s="17">
        <f t="shared" si="22"/>
        <v>3938345.0300000003</v>
      </c>
      <c r="D482" s="17">
        <v>1924454.31</v>
      </c>
      <c r="E482" s="17"/>
      <c r="F482" s="17">
        <v>1214.7</v>
      </c>
      <c r="G482" s="17">
        <v>2013890.72</v>
      </c>
      <c r="H482" s="153"/>
      <c r="I482" s="153"/>
      <c r="J482" s="153"/>
      <c r="K482" s="153"/>
      <c r="L482" s="153"/>
      <c r="M482" s="153"/>
      <c r="N482" s="153"/>
      <c r="O482" s="153"/>
      <c r="P482" s="206"/>
    </row>
    <row r="483" spans="1:16" ht="12.75">
      <c r="A483" s="198"/>
      <c r="B483" s="202" t="s">
        <v>380</v>
      </c>
      <c r="C483" s="201">
        <f>SUM(C471:C482)</f>
        <v>17131072.23</v>
      </c>
      <c r="D483" s="201">
        <f>SUM(D471:D482)</f>
        <v>4063454.5900000003</v>
      </c>
      <c r="E483" s="201"/>
      <c r="F483" s="201">
        <f>SUM(F471:F482)</f>
        <v>7200.22</v>
      </c>
      <c r="G483" s="201">
        <f>SUM(G471:G482)</f>
        <v>13067617.64</v>
      </c>
      <c r="H483" s="207"/>
      <c r="I483" s="153"/>
      <c r="J483" s="153"/>
      <c r="K483" s="153"/>
      <c r="L483" s="153"/>
      <c r="M483" s="153"/>
      <c r="N483" s="153"/>
      <c r="O483" s="153"/>
      <c r="P483" s="206"/>
    </row>
    <row r="484" spans="1:16" ht="14.25" customHeight="1">
      <c r="A484" s="337" t="s">
        <v>1377</v>
      </c>
      <c r="B484" s="338"/>
      <c r="C484" s="338"/>
      <c r="D484" s="338"/>
      <c r="E484" s="338"/>
      <c r="F484" s="338"/>
      <c r="G484" s="338"/>
      <c r="H484" s="338"/>
      <c r="I484" s="338"/>
      <c r="J484" s="338"/>
      <c r="K484" s="338"/>
      <c r="L484" s="338"/>
      <c r="M484" s="338"/>
      <c r="N484" s="338"/>
      <c r="O484" s="338"/>
      <c r="P484" s="339"/>
    </row>
    <row r="485" spans="1:16" ht="25.5">
      <c r="A485" s="196">
        <v>64</v>
      </c>
      <c r="B485" s="205" t="s">
        <v>1324</v>
      </c>
      <c r="C485" s="17">
        <f>D485+E485+G485+I485+K485+M485</f>
        <v>165054.65</v>
      </c>
      <c r="D485" s="17">
        <v>165054.65</v>
      </c>
      <c r="E485" s="17"/>
      <c r="F485" s="17"/>
      <c r="G485" s="17"/>
      <c r="H485" s="153"/>
      <c r="I485" s="153"/>
      <c r="J485" s="153"/>
      <c r="K485" s="153"/>
      <c r="L485" s="153"/>
      <c r="M485" s="153"/>
      <c r="N485" s="153"/>
      <c r="O485" s="153"/>
      <c r="P485" s="206"/>
    </row>
    <row r="486" spans="1:16" ht="27.75" customHeight="1">
      <c r="A486" s="196">
        <v>65</v>
      </c>
      <c r="B486" s="20" t="s">
        <v>876</v>
      </c>
      <c r="C486" s="17">
        <f aca="true" t="shared" si="23" ref="C486:C498">D486+E486+G486+I486+K486+M486</f>
        <v>1583918.56</v>
      </c>
      <c r="D486" s="17"/>
      <c r="E486" s="17"/>
      <c r="F486" s="17">
        <v>1018</v>
      </c>
      <c r="G486" s="17">
        <v>1583918.56</v>
      </c>
      <c r="H486" s="153"/>
      <c r="I486" s="153"/>
      <c r="J486" s="153"/>
      <c r="K486" s="153"/>
      <c r="L486" s="153"/>
      <c r="M486" s="153"/>
      <c r="N486" s="153"/>
      <c r="O486" s="153"/>
      <c r="P486" s="206"/>
    </row>
    <row r="487" spans="1:16" ht="25.5">
      <c r="A487" s="196">
        <v>66</v>
      </c>
      <c r="B487" s="20" t="s">
        <v>646</v>
      </c>
      <c r="C487" s="17">
        <f t="shared" si="23"/>
        <v>913679.88</v>
      </c>
      <c r="D487" s="17"/>
      <c r="E487" s="17"/>
      <c r="F487" s="17">
        <v>606.9</v>
      </c>
      <c r="G487" s="17">
        <v>913679.88</v>
      </c>
      <c r="H487" s="153"/>
      <c r="I487" s="153"/>
      <c r="J487" s="153"/>
      <c r="K487" s="153"/>
      <c r="L487" s="153"/>
      <c r="M487" s="153"/>
      <c r="N487" s="153"/>
      <c r="O487" s="153"/>
      <c r="P487" s="206"/>
    </row>
    <row r="488" spans="1:16" ht="25.5">
      <c r="A488" s="196">
        <v>67</v>
      </c>
      <c r="B488" s="20" t="s">
        <v>1143</v>
      </c>
      <c r="C488" s="17">
        <f t="shared" si="23"/>
        <v>3173656.88</v>
      </c>
      <c r="D488" s="17">
        <v>3173656.88</v>
      </c>
      <c r="E488" s="17"/>
      <c r="F488" s="17"/>
      <c r="G488" s="17"/>
      <c r="H488" s="153"/>
      <c r="I488" s="153"/>
      <c r="J488" s="153"/>
      <c r="K488" s="153"/>
      <c r="L488" s="153"/>
      <c r="M488" s="153"/>
      <c r="N488" s="153"/>
      <c r="O488" s="153"/>
      <c r="P488" s="206"/>
    </row>
    <row r="489" spans="1:16" ht="25.5">
      <c r="A489" s="196">
        <v>68</v>
      </c>
      <c r="B489" s="20" t="s">
        <v>728</v>
      </c>
      <c r="C489" s="17">
        <f t="shared" si="23"/>
        <v>3031714.9</v>
      </c>
      <c r="D489" s="17">
        <v>625513.25</v>
      </c>
      <c r="E489" s="17"/>
      <c r="F489" s="17">
        <v>812.9</v>
      </c>
      <c r="G489" s="17">
        <v>2406201.65</v>
      </c>
      <c r="H489" s="153"/>
      <c r="I489" s="153"/>
      <c r="J489" s="153"/>
      <c r="K489" s="153"/>
      <c r="L489" s="153"/>
      <c r="M489" s="153"/>
      <c r="N489" s="153"/>
      <c r="O489" s="153"/>
      <c r="P489" s="206"/>
    </row>
    <row r="490" spans="1:16" ht="25.5">
      <c r="A490" s="196">
        <v>69</v>
      </c>
      <c r="B490" s="20" t="s">
        <v>729</v>
      </c>
      <c r="C490" s="17">
        <f t="shared" si="23"/>
        <v>701174.22</v>
      </c>
      <c r="D490" s="17"/>
      <c r="E490" s="17"/>
      <c r="F490" s="17">
        <v>878.3</v>
      </c>
      <c r="G490" s="17">
        <v>701174.22</v>
      </c>
      <c r="H490" s="153"/>
      <c r="I490" s="153"/>
      <c r="J490" s="153"/>
      <c r="K490" s="153"/>
      <c r="L490" s="153"/>
      <c r="M490" s="153"/>
      <c r="N490" s="153"/>
      <c r="O490" s="153"/>
      <c r="P490" s="206"/>
    </row>
    <row r="491" spans="1:16" ht="25.5">
      <c r="A491" s="196">
        <v>70</v>
      </c>
      <c r="B491" s="20" t="s">
        <v>730</v>
      </c>
      <c r="C491" s="17">
        <f t="shared" si="23"/>
        <v>711286.7</v>
      </c>
      <c r="D491" s="17"/>
      <c r="E491" s="17"/>
      <c r="F491" s="17">
        <v>884.6</v>
      </c>
      <c r="G491" s="17">
        <v>711286.7</v>
      </c>
      <c r="H491" s="153"/>
      <c r="I491" s="153"/>
      <c r="J491" s="153"/>
      <c r="K491" s="153"/>
      <c r="L491" s="153"/>
      <c r="M491" s="153"/>
      <c r="N491" s="153"/>
      <c r="O491" s="153"/>
      <c r="P491" s="206"/>
    </row>
    <row r="492" spans="1:16" ht="25.5">
      <c r="A492" s="196">
        <v>71</v>
      </c>
      <c r="B492" s="20" t="s">
        <v>731</v>
      </c>
      <c r="C492" s="17">
        <f t="shared" si="23"/>
        <v>6754171.87</v>
      </c>
      <c r="D492" s="17">
        <v>4773603.64</v>
      </c>
      <c r="E492" s="17">
        <v>149218.41</v>
      </c>
      <c r="F492" s="17">
        <v>1213</v>
      </c>
      <c r="G492" s="17">
        <v>1831349.82</v>
      </c>
      <c r="H492" s="153"/>
      <c r="I492" s="153"/>
      <c r="J492" s="153"/>
      <c r="K492" s="153"/>
      <c r="L492" s="153"/>
      <c r="M492" s="153"/>
      <c r="N492" s="153"/>
      <c r="O492" s="153"/>
      <c r="P492" s="206"/>
    </row>
    <row r="493" spans="1:16" ht="25.5">
      <c r="A493" s="196">
        <v>72</v>
      </c>
      <c r="B493" s="20" t="s">
        <v>732</v>
      </c>
      <c r="C493" s="17">
        <f t="shared" si="23"/>
        <v>1101536.86</v>
      </c>
      <c r="D493" s="17">
        <v>1101536.86</v>
      </c>
      <c r="E493" s="17"/>
      <c r="F493" s="17"/>
      <c r="G493" s="17"/>
      <c r="H493" s="153"/>
      <c r="I493" s="153"/>
      <c r="J493" s="153"/>
      <c r="K493" s="153"/>
      <c r="L493" s="153"/>
      <c r="M493" s="153"/>
      <c r="N493" s="153"/>
      <c r="O493" s="153"/>
      <c r="P493" s="206"/>
    </row>
    <row r="494" spans="1:16" ht="25.5">
      <c r="A494" s="196">
        <v>73</v>
      </c>
      <c r="B494" s="205" t="s">
        <v>1485</v>
      </c>
      <c r="C494" s="17">
        <f t="shared" si="23"/>
        <v>2399299.41</v>
      </c>
      <c r="D494" s="17"/>
      <c r="E494" s="17"/>
      <c r="F494" s="17">
        <v>618</v>
      </c>
      <c r="G494" s="17">
        <v>2399299.41</v>
      </c>
      <c r="H494" s="153"/>
      <c r="I494" s="153"/>
      <c r="J494" s="153"/>
      <c r="K494" s="153"/>
      <c r="L494" s="153"/>
      <c r="M494" s="153"/>
      <c r="N494" s="153"/>
      <c r="O494" s="153"/>
      <c r="P494" s="206"/>
    </row>
    <row r="495" spans="1:16" ht="25.5">
      <c r="A495" s="196">
        <v>74</v>
      </c>
      <c r="B495" s="205" t="s">
        <v>114</v>
      </c>
      <c r="C495" s="17">
        <f t="shared" si="23"/>
        <v>607430.67</v>
      </c>
      <c r="D495" s="17"/>
      <c r="E495" s="17"/>
      <c r="F495" s="17">
        <v>232</v>
      </c>
      <c r="G495" s="17">
        <v>607430.67</v>
      </c>
      <c r="H495" s="153"/>
      <c r="I495" s="153"/>
      <c r="J495" s="153"/>
      <c r="K495" s="153"/>
      <c r="L495" s="153"/>
      <c r="M495" s="153"/>
      <c r="N495" s="153"/>
      <c r="O495" s="153"/>
      <c r="P495" s="206"/>
    </row>
    <row r="496" spans="1:16" ht="25.5">
      <c r="A496" s="196">
        <v>75</v>
      </c>
      <c r="B496" s="205" t="s">
        <v>115</v>
      </c>
      <c r="C496" s="17">
        <f t="shared" si="23"/>
        <v>608028.16</v>
      </c>
      <c r="D496" s="205"/>
      <c r="E496" s="205"/>
      <c r="F496" s="197">
        <v>160.5</v>
      </c>
      <c r="G496" s="17">
        <v>608028.16</v>
      </c>
      <c r="H496" s="153"/>
      <c r="I496" s="153"/>
      <c r="J496" s="153"/>
      <c r="K496" s="153"/>
      <c r="L496" s="153"/>
      <c r="M496" s="153"/>
      <c r="N496" s="153"/>
      <c r="O496" s="153"/>
      <c r="P496" s="206"/>
    </row>
    <row r="497" spans="1:16" ht="25.5">
      <c r="A497" s="196">
        <v>76</v>
      </c>
      <c r="B497" s="205" t="s">
        <v>116</v>
      </c>
      <c r="C497" s="17">
        <f t="shared" si="23"/>
        <v>807908.4</v>
      </c>
      <c r="D497" s="205"/>
      <c r="E497" s="205"/>
      <c r="F497" s="197">
        <v>186.3</v>
      </c>
      <c r="G497" s="17">
        <v>807908.4</v>
      </c>
      <c r="H497" s="153"/>
      <c r="I497" s="153"/>
      <c r="J497" s="153"/>
      <c r="K497" s="153"/>
      <c r="L497" s="153"/>
      <c r="M497" s="153"/>
      <c r="N497" s="153"/>
      <c r="O497" s="153"/>
      <c r="P497" s="206"/>
    </row>
    <row r="498" spans="1:16" ht="25.5">
      <c r="A498" s="196">
        <v>77</v>
      </c>
      <c r="B498" s="205" t="s">
        <v>117</v>
      </c>
      <c r="C498" s="17">
        <f t="shared" si="23"/>
        <v>2337211.52</v>
      </c>
      <c r="D498" s="17">
        <v>2337211.52</v>
      </c>
      <c r="E498" s="205"/>
      <c r="F498" s="205"/>
      <c r="G498" s="205"/>
      <c r="H498" s="153"/>
      <c r="I498" s="153"/>
      <c r="J498" s="153"/>
      <c r="K498" s="153"/>
      <c r="L498" s="153"/>
      <c r="M498" s="153"/>
      <c r="N498" s="153"/>
      <c r="O498" s="153"/>
      <c r="P498" s="206"/>
    </row>
    <row r="499" spans="1:16" ht="12.75">
      <c r="A499" s="196"/>
      <c r="B499" s="202" t="s">
        <v>380</v>
      </c>
      <c r="C499" s="201">
        <f>SUM(C485:C498)</f>
        <v>24896072.68</v>
      </c>
      <c r="D499" s="201">
        <f>SUM(D485:D498)</f>
        <v>12176576.799999999</v>
      </c>
      <c r="E499" s="201">
        <f>SUM(E485:E498)</f>
        <v>149218.41</v>
      </c>
      <c r="F499" s="201">
        <f>SUM(F485:F498)</f>
        <v>6610.500000000001</v>
      </c>
      <c r="G499" s="201">
        <f>SUM(G485:G498)</f>
        <v>12570277.47</v>
      </c>
      <c r="H499" s="153"/>
      <c r="I499" s="153"/>
      <c r="J499" s="153"/>
      <c r="K499" s="153"/>
      <c r="L499" s="153"/>
      <c r="M499" s="153"/>
      <c r="N499" s="153"/>
      <c r="O499" s="153"/>
      <c r="P499" s="206"/>
    </row>
    <row r="500" spans="1:16" ht="14.25" customHeight="1">
      <c r="A500" s="337" t="s">
        <v>766</v>
      </c>
      <c r="B500" s="338"/>
      <c r="C500" s="338"/>
      <c r="D500" s="338"/>
      <c r="E500" s="338"/>
      <c r="F500" s="338"/>
      <c r="G500" s="338"/>
      <c r="H500" s="338"/>
      <c r="I500" s="338"/>
      <c r="J500" s="338"/>
      <c r="K500" s="338"/>
      <c r="L500" s="338"/>
      <c r="M500" s="338"/>
      <c r="N500" s="338"/>
      <c r="O500" s="338"/>
      <c r="P500" s="339"/>
    </row>
    <row r="501" spans="1:16" ht="25.5">
      <c r="A501" s="196">
        <v>78</v>
      </c>
      <c r="B501" s="205" t="s">
        <v>733</v>
      </c>
      <c r="C501" s="17">
        <v>2826285.6</v>
      </c>
      <c r="D501" s="17">
        <v>587253.84</v>
      </c>
      <c r="E501" s="153"/>
      <c r="F501" s="204">
        <v>726.5</v>
      </c>
      <c r="G501" s="204">
        <v>2239031.76</v>
      </c>
      <c r="H501" s="20"/>
      <c r="I501" s="20"/>
      <c r="J501" s="20"/>
      <c r="K501" s="20"/>
      <c r="L501" s="20"/>
      <c r="M501" s="20"/>
      <c r="N501" s="20"/>
      <c r="O501" s="153"/>
      <c r="P501" s="206"/>
    </row>
    <row r="502" spans="1:16" ht="12.75">
      <c r="A502" s="196"/>
      <c r="B502" s="202" t="s">
        <v>380</v>
      </c>
      <c r="C502" s="201">
        <f>SUM(C501)</f>
        <v>2826285.6</v>
      </c>
      <c r="D502" s="201">
        <f>SUM(D501)</f>
        <v>587253.84</v>
      </c>
      <c r="E502" s="201"/>
      <c r="F502" s="201">
        <f>SUM(F501)</f>
        <v>726.5</v>
      </c>
      <c r="G502" s="201">
        <f>SUM(G501)</f>
        <v>2239031.76</v>
      </c>
      <c r="H502" s="153"/>
      <c r="I502" s="153"/>
      <c r="J502" s="153"/>
      <c r="K502" s="153"/>
      <c r="L502" s="153"/>
      <c r="M502" s="153"/>
      <c r="N502" s="153"/>
      <c r="O502" s="153"/>
      <c r="P502" s="206"/>
    </row>
    <row r="503" spans="1:16" ht="13.5" customHeight="1">
      <c r="A503" s="337" t="s">
        <v>1366</v>
      </c>
      <c r="B503" s="338"/>
      <c r="C503" s="338"/>
      <c r="D503" s="338"/>
      <c r="E503" s="338"/>
      <c r="F503" s="338"/>
      <c r="G503" s="338"/>
      <c r="H503" s="338"/>
      <c r="I503" s="338"/>
      <c r="J503" s="338"/>
      <c r="K503" s="338"/>
      <c r="L503" s="338"/>
      <c r="M503" s="338"/>
      <c r="N503" s="338"/>
      <c r="O503" s="338"/>
      <c r="P503" s="339"/>
    </row>
    <row r="504" spans="1:16" ht="25.5">
      <c r="A504" s="196">
        <v>79</v>
      </c>
      <c r="B504" s="212" t="s">
        <v>238</v>
      </c>
      <c r="C504" s="17">
        <f>D504+E504+G504+I504+K504+M504</f>
        <v>1500564.82</v>
      </c>
      <c r="D504" s="213"/>
      <c r="E504" s="213"/>
      <c r="F504" s="213">
        <v>472</v>
      </c>
      <c r="G504" s="17">
        <v>1500564.82</v>
      </c>
      <c r="H504" s="153"/>
      <c r="I504" s="153"/>
      <c r="J504" s="153"/>
      <c r="K504" s="153"/>
      <c r="L504" s="153"/>
      <c r="M504" s="153"/>
      <c r="N504" s="153"/>
      <c r="O504" s="153"/>
      <c r="P504" s="206"/>
    </row>
    <row r="505" spans="1:16" ht="25.5">
      <c r="A505" s="196">
        <v>80</v>
      </c>
      <c r="B505" s="212" t="s">
        <v>239</v>
      </c>
      <c r="C505" s="17">
        <f aca="true" t="shared" si="24" ref="C505:C513">D505+E505+G505+I505+K505+M505</f>
        <v>1695221.47</v>
      </c>
      <c r="D505" s="213"/>
      <c r="E505" s="213"/>
      <c r="F505" s="213">
        <v>505</v>
      </c>
      <c r="G505" s="17">
        <v>1695221.47</v>
      </c>
      <c r="H505" s="153"/>
      <c r="I505" s="153"/>
      <c r="J505" s="153"/>
      <c r="K505" s="153"/>
      <c r="L505" s="153"/>
      <c r="M505" s="153"/>
      <c r="N505" s="153"/>
      <c r="O505" s="153"/>
      <c r="P505" s="206"/>
    </row>
    <row r="506" spans="1:16" ht="25.5">
      <c r="A506" s="196">
        <v>81</v>
      </c>
      <c r="B506" s="212" t="s">
        <v>240</v>
      </c>
      <c r="C506" s="17">
        <f t="shared" si="24"/>
        <v>1177321.45</v>
      </c>
      <c r="D506" s="213"/>
      <c r="E506" s="213"/>
      <c r="F506" s="213">
        <v>403</v>
      </c>
      <c r="G506" s="17">
        <v>1177321.45</v>
      </c>
      <c r="H506" s="153"/>
      <c r="I506" s="153"/>
      <c r="J506" s="153"/>
      <c r="K506" s="153"/>
      <c r="L506" s="153"/>
      <c r="M506" s="153"/>
      <c r="N506" s="153"/>
      <c r="O506" s="153"/>
      <c r="P506" s="206"/>
    </row>
    <row r="507" spans="1:16" ht="12.75">
      <c r="A507" s="196">
        <v>82</v>
      </c>
      <c r="B507" s="212" t="s">
        <v>608</v>
      </c>
      <c r="C507" s="17">
        <f t="shared" si="24"/>
        <v>59296.59</v>
      </c>
      <c r="D507" s="17">
        <v>59296.59</v>
      </c>
      <c r="E507" s="213"/>
      <c r="F507" s="213"/>
      <c r="G507" s="213"/>
      <c r="H507" s="153"/>
      <c r="I507" s="153"/>
      <c r="J507" s="153"/>
      <c r="K507" s="153"/>
      <c r="L507" s="153"/>
      <c r="M507" s="153"/>
      <c r="N507" s="153"/>
      <c r="O507" s="153"/>
      <c r="P507" s="206"/>
    </row>
    <row r="508" spans="1:16" ht="25.5">
      <c r="A508" s="196">
        <v>83</v>
      </c>
      <c r="B508" s="212" t="s">
        <v>647</v>
      </c>
      <c r="C508" s="17">
        <f t="shared" si="24"/>
        <v>1912687.7600000002</v>
      </c>
      <c r="D508" s="213">
        <v>199549.89</v>
      </c>
      <c r="E508" s="213"/>
      <c r="F508" s="213">
        <v>520</v>
      </c>
      <c r="G508" s="213">
        <v>1713137.87</v>
      </c>
      <c r="H508" s="153"/>
      <c r="I508" s="153"/>
      <c r="J508" s="153"/>
      <c r="K508" s="153"/>
      <c r="L508" s="153"/>
      <c r="M508" s="153"/>
      <c r="N508" s="153"/>
      <c r="O508" s="153"/>
      <c r="P508" s="206"/>
    </row>
    <row r="509" spans="1:16" ht="25.5">
      <c r="A509" s="196">
        <v>84</v>
      </c>
      <c r="B509" s="212" t="s">
        <v>877</v>
      </c>
      <c r="C509" s="17">
        <f t="shared" si="24"/>
        <v>1289712.64</v>
      </c>
      <c r="D509" s="17">
        <v>1289712.64</v>
      </c>
      <c r="E509" s="213"/>
      <c r="F509" s="213"/>
      <c r="G509" s="213"/>
      <c r="H509" s="153"/>
      <c r="I509" s="153"/>
      <c r="J509" s="153"/>
      <c r="K509" s="153"/>
      <c r="L509" s="153"/>
      <c r="M509" s="153"/>
      <c r="N509" s="153"/>
      <c r="O509" s="153"/>
      <c r="P509" s="206"/>
    </row>
    <row r="510" spans="1:16" ht="25.5">
      <c r="A510" s="196">
        <v>85</v>
      </c>
      <c r="B510" s="212" t="s">
        <v>609</v>
      </c>
      <c r="C510" s="17">
        <f t="shared" si="24"/>
        <v>380148.16</v>
      </c>
      <c r="D510" s="17">
        <v>380148.16</v>
      </c>
      <c r="E510" s="213"/>
      <c r="F510" s="213"/>
      <c r="G510" s="213"/>
      <c r="H510" s="153"/>
      <c r="I510" s="153"/>
      <c r="J510" s="153"/>
      <c r="K510" s="153"/>
      <c r="L510" s="153"/>
      <c r="M510" s="153"/>
      <c r="N510" s="153"/>
      <c r="O510" s="153"/>
      <c r="P510" s="206"/>
    </row>
    <row r="511" spans="1:16" ht="25.5">
      <c r="A511" s="196">
        <v>86</v>
      </c>
      <c r="B511" s="212" t="s">
        <v>1325</v>
      </c>
      <c r="C511" s="17">
        <f t="shared" si="24"/>
        <v>5728802.4</v>
      </c>
      <c r="D511" s="17"/>
      <c r="E511" s="17"/>
      <c r="F511" s="17">
        <v>986</v>
      </c>
      <c r="G511" s="17">
        <v>5728802.4</v>
      </c>
      <c r="H511" s="153"/>
      <c r="I511" s="153"/>
      <c r="J511" s="153"/>
      <c r="K511" s="153"/>
      <c r="L511" s="153"/>
      <c r="M511" s="153"/>
      <c r="N511" s="153"/>
      <c r="O511" s="153"/>
      <c r="P511" s="206"/>
    </row>
    <row r="512" spans="1:16" ht="25.5">
      <c r="A512" s="196">
        <v>87</v>
      </c>
      <c r="B512" s="212" t="s">
        <v>1326</v>
      </c>
      <c r="C512" s="17">
        <f t="shared" si="24"/>
        <v>4693467.37</v>
      </c>
      <c r="D512" s="17"/>
      <c r="E512" s="17"/>
      <c r="F512" s="17">
        <v>884</v>
      </c>
      <c r="G512" s="17">
        <v>4693467.37</v>
      </c>
      <c r="H512" s="153"/>
      <c r="I512" s="153"/>
      <c r="J512" s="153"/>
      <c r="K512" s="153"/>
      <c r="L512" s="153"/>
      <c r="M512" s="153"/>
      <c r="N512" s="153"/>
      <c r="O512" s="153"/>
      <c r="P512" s="206"/>
    </row>
    <row r="513" spans="1:16" ht="25.5">
      <c r="A513" s="196">
        <v>88</v>
      </c>
      <c r="B513" s="212" t="s">
        <v>1486</v>
      </c>
      <c r="C513" s="17">
        <f t="shared" si="24"/>
        <v>1760652.22</v>
      </c>
      <c r="D513" s="17"/>
      <c r="E513" s="17"/>
      <c r="F513" s="17">
        <v>475.6</v>
      </c>
      <c r="G513" s="17">
        <v>1760652.22</v>
      </c>
      <c r="H513" s="153"/>
      <c r="I513" s="153"/>
      <c r="J513" s="153"/>
      <c r="K513" s="153"/>
      <c r="L513" s="153"/>
      <c r="M513" s="153"/>
      <c r="N513" s="153"/>
      <c r="O513" s="153"/>
      <c r="P513" s="206"/>
    </row>
    <row r="514" spans="1:16" ht="12.75">
      <c r="A514" s="198"/>
      <c r="B514" s="202" t="s">
        <v>380</v>
      </c>
      <c r="C514" s="201">
        <f>SUM(C504:C513)</f>
        <v>20197874.88</v>
      </c>
      <c r="D514" s="201">
        <f>SUM(D504:D513)</f>
        <v>1928707.2799999998</v>
      </c>
      <c r="E514" s="201"/>
      <c r="F514" s="201">
        <f>SUM(F504:F513)</f>
        <v>4245.6</v>
      </c>
      <c r="G514" s="201">
        <f>SUM(G504:G513)</f>
        <v>18269167.6</v>
      </c>
      <c r="H514" s="153"/>
      <c r="I514" s="153"/>
      <c r="J514" s="153"/>
      <c r="K514" s="153"/>
      <c r="L514" s="153"/>
      <c r="M514" s="153"/>
      <c r="N514" s="153"/>
      <c r="O514" s="153"/>
      <c r="P514" s="206"/>
    </row>
    <row r="515" spans="1:16" ht="12.75" customHeight="1">
      <c r="A515" s="337" t="s">
        <v>495</v>
      </c>
      <c r="B515" s="338"/>
      <c r="C515" s="338"/>
      <c r="D515" s="338"/>
      <c r="E515" s="338"/>
      <c r="F515" s="338"/>
      <c r="G515" s="338"/>
      <c r="H515" s="338"/>
      <c r="I515" s="338"/>
      <c r="J515" s="338"/>
      <c r="K515" s="338"/>
      <c r="L515" s="338"/>
      <c r="M515" s="338"/>
      <c r="N515" s="338"/>
      <c r="O515" s="338"/>
      <c r="P515" s="339"/>
    </row>
    <row r="516" spans="1:16" ht="25.5">
      <c r="A516" s="196">
        <v>89</v>
      </c>
      <c r="B516" s="20" t="s">
        <v>1144</v>
      </c>
      <c r="C516" s="17">
        <f>D516+E516+G516</f>
        <v>2433642.59</v>
      </c>
      <c r="D516" s="17"/>
      <c r="E516" s="17"/>
      <c r="F516" s="17">
        <v>834</v>
      </c>
      <c r="G516" s="17">
        <v>2433642.59</v>
      </c>
      <c r="H516" s="17"/>
      <c r="I516" s="17"/>
      <c r="J516" s="17"/>
      <c r="K516" s="17"/>
      <c r="L516" s="17"/>
      <c r="M516" s="17"/>
      <c r="N516" s="153"/>
      <c r="O516" s="153"/>
      <c r="P516" s="206"/>
    </row>
    <row r="517" spans="1:16" ht="25.5">
      <c r="A517" s="196">
        <v>90</v>
      </c>
      <c r="B517" s="20" t="s">
        <v>1488</v>
      </c>
      <c r="C517" s="17">
        <f>D517+E517+G517</f>
        <v>1386076.92</v>
      </c>
      <c r="D517" s="17"/>
      <c r="E517" s="17"/>
      <c r="F517" s="17">
        <v>478</v>
      </c>
      <c r="G517" s="17">
        <v>1386076.92</v>
      </c>
      <c r="H517" s="17"/>
      <c r="I517" s="17"/>
      <c r="J517" s="17"/>
      <c r="K517" s="17"/>
      <c r="L517" s="17"/>
      <c r="M517" s="17"/>
      <c r="N517" s="153"/>
      <c r="O517" s="153"/>
      <c r="P517" s="206"/>
    </row>
    <row r="518" spans="1:16" ht="13.5" customHeight="1">
      <c r="A518" s="198"/>
      <c r="B518" s="202" t="s">
        <v>380</v>
      </c>
      <c r="C518" s="201">
        <f>SUM(C516:C517)</f>
        <v>3819719.51</v>
      </c>
      <c r="D518" s="201"/>
      <c r="E518" s="201"/>
      <c r="F518" s="201">
        <f>SUM(F516:F517)</f>
        <v>1312</v>
      </c>
      <c r="G518" s="201">
        <f>SUM(G516:G517)</f>
        <v>3819719.51</v>
      </c>
      <c r="H518" s="201"/>
      <c r="I518" s="201"/>
      <c r="J518" s="201"/>
      <c r="K518" s="201"/>
      <c r="L518" s="201"/>
      <c r="M518" s="201"/>
      <c r="N518" s="207"/>
      <c r="O518" s="153"/>
      <c r="P518" s="206"/>
    </row>
    <row r="519" spans="1:16" ht="15" customHeight="1">
      <c r="A519" s="337" t="s">
        <v>1364</v>
      </c>
      <c r="B519" s="338"/>
      <c r="C519" s="338"/>
      <c r="D519" s="338"/>
      <c r="E519" s="338"/>
      <c r="F519" s="338"/>
      <c r="G519" s="338"/>
      <c r="H519" s="338"/>
      <c r="I519" s="338"/>
      <c r="J519" s="338"/>
      <c r="K519" s="338"/>
      <c r="L519" s="338"/>
      <c r="M519" s="338"/>
      <c r="N519" s="338"/>
      <c r="O519" s="338"/>
      <c r="P519" s="339"/>
    </row>
    <row r="520" spans="1:16" ht="25.5">
      <c r="A520" s="214">
        <v>91</v>
      </c>
      <c r="B520" s="215" t="s">
        <v>1489</v>
      </c>
      <c r="C520" s="17">
        <f>D520+E520+G520</f>
        <v>1986961.71</v>
      </c>
      <c r="D520" s="153"/>
      <c r="E520" s="153"/>
      <c r="F520" s="153">
        <v>1166</v>
      </c>
      <c r="G520" s="17">
        <v>1986961.71</v>
      </c>
      <c r="H520" s="153"/>
      <c r="I520" s="153"/>
      <c r="J520" s="153"/>
      <c r="K520" s="153"/>
      <c r="L520" s="153"/>
      <c r="M520" s="153"/>
      <c r="N520" s="153"/>
      <c r="O520" s="153"/>
      <c r="P520" s="206"/>
    </row>
    <row r="521" spans="1:16" ht="12.75">
      <c r="A521" s="198"/>
      <c r="B521" s="202" t="s">
        <v>380</v>
      </c>
      <c r="C521" s="201">
        <f>SUM(C520)</f>
        <v>1986961.71</v>
      </c>
      <c r="D521" s="201"/>
      <c r="E521" s="201"/>
      <c r="F521" s="201">
        <f>SUM(F520)</f>
        <v>1166</v>
      </c>
      <c r="G521" s="201">
        <f>SUM(G520)</f>
        <v>1986961.71</v>
      </c>
      <c r="H521" s="153"/>
      <c r="I521" s="153"/>
      <c r="J521" s="153"/>
      <c r="K521" s="153"/>
      <c r="L521" s="153"/>
      <c r="M521" s="153"/>
      <c r="N521" s="153"/>
      <c r="O521" s="153"/>
      <c r="P521" s="206"/>
    </row>
    <row r="522" spans="1:16" ht="14.25" customHeight="1">
      <c r="A522" s="337" t="s">
        <v>1369</v>
      </c>
      <c r="B522" s="338"/>
      <c r="C522" s="338"/>
      <c r="D522" s="338"/>
      <c r="E522" s="338"/>
      <c r="F522" s="338"/>
      <c r="G522" s="338"/>
      <c r="H522" s="338"/>
      <c r="I522" s="338"/>
      <c r="J522" s="338"/>
      <c r="K522" s="338"/>
      <c r="L522" s="338"/>
      <c r="M522" s="338"/>
      <c r="N522" s="338"/>
      <c r="O522" s="338"/>
      <c r="P522" s="339"/>
    </row>
    <row r="523" spans="1:16" ht="25.5">
      <c r="A523" s="214">
        <v>92</v>
      </c>
      <c r="B523" s="215" t="s">
        <v>734</v>
      </c>
      <c r="C523" s="17">
        <f aca="true" t="shared" si="25" ref="C523:C528">D523+E523+G523+I523+K523+M523</f>
        <v>3000129.12</v>
      </c>
      <c r="D523" s="17">
        <v>3000129.12</v>
      </c>
      <c r="E523" s="17"/>
      <c r="F523" s="17"/>
      <c r="G523" s="17"/>
      <c r="H523" s="153"/>
      <c r="I523" s="153"/>
      <c r="J523" s="153"/>
      <c r="K523" s="153"/>
      <c r="L523" s="153"/>
      <c r="M523" s="153"/>
      <c r="N523" s="153"/>
      <c r="O523" s="153"/>
      <c r="P523" s="206"/>
    </row>
    <row r="524" spans="1:16" ht="25.5">
      <c r="A524" s="214">
        <v>93</v>
      </c>
      <c r="B524" s="215" t="s">
        <v>662</v>
      </c>
      <c r="C524" s="17">
        <f t="shared" si="25"/>
        <v>6870362.44</v>
      </c>
      <c r="D524" s="216">
        <v>6349325.19</v>
      </c>
      <c r="E524" s="17">
        <v>521037.25</v>
      </c>
      <c r="F524" s="17"/>
      <c r="G524" s="17"/>
      <c r="H524" s="153"/>
      <c r="I524" s="153"/>
      <c r="J524" s="153"/>
      <c r="K524" s="153"/>
      <c r="L524" s="153"/>
      <c r="M524" s="153"/>
      <c r="N524" s="153"/>
      <c r="O524" s="153"/>
      <c r="P524" s="206"/>
    </row>
    <row r="525" spans="1:16" ht="25.5">
      <c r="A525" s="214">
        <v>94</v>
      </c>
      <c r="B525" s="215" t="s">
        <v>1619</v>
      </c>
      <c r="C525" s="17">
        <f t="shared" si="25"/>
        <v>2965345.64</v>
      </c>
      <c r="D525" s="17">
        <v>2965345.64</v>
      </c>
      <c r="E525" s="17"/>
      <c r="F525" s="17"/>
      <c r="G525" s="17"/>
      <c r="H525" s="153"/>
      <c r="I525" s="153"/>
      <c r="J525" s="153"/>
      <c r="K525" s="153"/>
      <c r="L525" s="153"/>
      <c r="M525" s="153"/>
      <c r="N525" s="153"/>
      <c r="O525" s="153"/>
      <c r="P525" s="206"/>
    </row>
    <row r="526" spans="1:16" ht="25.5">
      <c r="A526" s="214">
        <v>95</v>
      </c>
      <c r="B526" s="215" t="s">
        <v>123</v>
      </c>
      <c r="C526" s="17">
        <f t="shared" si="25"/>
        <v>3058277.2700000005</v>
      </c>
      <c r="D526" s="17">
        <v>2294542.97</v>
      </c>
      <c r="E526" s="17">
        <v>763734.3</v>
      </c>
      <c r="F526" s="17"/>
      <c r="G526" s="17"/>
      <c r="H526" s="153"/>
      <c r="I526" s="153"/>
      <c r="J526" s="153"/>
      <c r="K526" s="153"/>
      <c r="L526" s="153"/>
      <c r="M526" s="153"/>
      <c r="N526" s="153"/>
      <c r="O526" s="153"/>
      <c r="P526" s="206"/>
    </row>
    <row r="527" spans="1:16" ht="12.75">
      <c r="A527" s="214">
        <v>96</v>
      </c>
      <c r="B527" s="215" t="s">
        <v>121</v>
      </c>
      <c r="C527" s="17">
        <f t="shared" si="25"/>
        <v>1565800.44</v>
      </c>
      <c r="D527" s="17">
        <v>1565800.44</v>
      </c>
      <c r="E527" s="17"/>
      <c r="F527" s="17"/>
      <c r="G527" s="17"/>
      <c r="H527" s="153"/>
      <c r="I527" s="153"/>
      <c r="J527" s="153"/>
      <c r="K527" s="153"/>
      <c r="L527" s="153"/>
      <c r="M527" s="153"/>
      <c r="N527" s="153"/>
      <c r="O527" s="153"/>
      <c r="P527" s="206"/>
    </row>
    <row r="528" spans="1:16" ht="25.5">
      <c r="A528" s="214">
        <v>97</v>
      </c>
      <c r="B528" s="215" t="s">
        <v>124</v>
      </c>
      <c r="C528" s="17">
        <f t="shared" si="25"/>
        <v>3501585.96</v>
      </c>
      <c r="D528" s="17">
        <v>3092438.49</v>
      </c>
      <c r="E528" s="17">
        <v>409147.47</v>
      </c>
      <c r="F528" s="17"/>
      <c r="G528" s="17"/>
      <c r="H528" s="153"/>
      <c r="I528" s="153"/>
      <c r="J528" s="153"/>
      <c r="K528" s="153"/>
      <c r="L528" s="153"/>
      <c r="M528" s="153"/>
      <c r="N528" s="153"/>
      <c r="O528" s="153"/>
      <c r="P528" s="206"/>
    </row>
    <row r="529" spans="1:16" ht="12.75">
      <c r="A529" s="217"/>
      <c r="B529" s="202" t="s">
        <v>1437</v>
      </c>
      <c r="C529" s="218">
        <f>SUM(C523:C528)</f>
        <v>20961500.870000005</v>
      </c>
      <c r="D529" s="218">
        <f>SUM(D523:D528)</f>
        <v>19267581.85</v>
      </c>
      <c r="E529" s="218">
        <f>SUM(E523:E528)</f>
        <v>1693919.02</v>
      </c>
      <c r="F529" s="218"/>
      <c r="G529" s="218"/>
      <c r="H529" s="153"/>
      <c r="I529" s="153"/>
      <c r="J529" s="153"/>
      <c r="K529" s="153"/>
      <c r="L529" s="153"/>
      <c r="M529" s="153"/>
      <c r="N529" s="153"/>
      <c r="O529" s="153"/>
      <c r="P529" s="206"/>
    </row>
    <row r="530" spans="1:16" ht="12.75">
      <c r="A530" s="337" t="s">
        <v>1370</v>
      </c>
      <c r="B530" s="338"/>
      <c r="C530" s="338"/>
      <c r="D530" s="338"/>
      <c r="E530" s="338"/>
      <c r="F530" s="338"/>
      <c r="G530" s="338"/>
      <c r="H530" s="338"/>
      <c r="I530" s="338"/>
      <c r="J530" s="338"/>
      <c r="K530" s="338"/>
      <c r="L530" s="338"/>
      <c r="M530" s="338"/>
      <c r="N530" s="338"/>
      <c r="O530" s="338"/>
      <c r="P530" s="339"/>
    </row>
    <row r="531" spans="1:16" ht="25.5">
      <c r="A531" s="219" t="s">
        <v>1565</v>
      </c>
      <c r="B531" s="215" t="s">
        <v>736</v>
      </c>
      <c r="C531" s="17">
        <f>D531+E531+G531+I531+K531+M531</f>
        <v>3431598.53</v>
      </c>
      <c r="D531" s="216"/>
      <c r="E531" s="216"/>
      <c r="F531" s="216">
        <v>1184</v>
      </c>
      <c r="G531" s="17">
        <v>3431598.53</v>
      </c>
      <c r="H531" s="216"/>
      <c r="I531" s="216"/>
      <c r="J531" s="216"/>
      <c r="K531" s="216"/>
      <c r="L531" s="17"/>
      <c r="M531" s="17"/>
      <c r="N531" s="153"/>
      <c r="O531" s="153"/>
      <c r="P531" s="206"/>
    </row>
    <row r="532" spans="1:16" ht="25.5">
      <c r="A532" s="219" t="s">
        <v>1150</v>
      </c>
      <c r="B532" s="215" t="s">
        <v>737</v>
      </c>
      <c r="C532" s="17">
        <f aca="true" t="shared" si="26" ref="C532:C570">D532+E532+G532+I532+K532+M532</f>
        <v>2997612.69</v>
      </c>
      <c r="D532" s="216"/>
      <c r="E532" s="216"/>
      <c r="F532" s="216">
        <v>1157</v>
      </c>
      <c r="G532" s="17">
        <v>2997612.69</v>
      </c>
      <c r="H532" s="216"/>
      <c r="I532" s="216"/>
      <c r="J532" s="216"/>
      <c r="K532" s="216"/>
      <c r="L532" s="17"/>
      <c r="M532" s="17"/>
      <c r="N532" s="153"/>
      <c r="O532" s="153"/>
      <c r="P532" s="206"/>
    </row>
    <row r="533" spans="1:16" ht="25.5">
      <c r="A533" s="219" t="s">
        <v>1151</v>
      </c>
      <c r="B533" s="215" t="s">
        <v>738</v>
      </c>
      <c r="C533" s="17">
        <f t="shared" si="26"/>
        <v>2998383.06</v>
      </c>
      <c r="D533" s="216"/>
      <c r="E533" s="216"/>
      <c r="F533" s="216">
        <v>2349</v>
      </c>
      <c r="G533" s="17">
        <v>2998383.06</v>
      </c>
      <c r="H533" s="216"/>
      <c r="I533" s="216"/>
      <c r="J533" s="216"/>
      <c r="K533" s="216"/>
      <c r="L533" s="17"/>
      <c r="M533" s="17"/>
      <c r="N533" s="153"/>
      <c r="O533" s="153"/>
      <c r="P533" s="206"/>
    </row>
    <row r="534" spans="1:16" ht="25.5">
      <c r="A534" s="219" t="s">
        <v>78</v>
      </c>
      <c r="B534" s="215" t="s">
        <v>739</v>
      </c>
      <c r="C534" s="17">
        <f t="shared" si="26"/>
        <v>1890242.2</v>
      </c>
      <c r="D534" s="216"/>
      <c r="E534" s="216"/>
      <c r="F534" s="216">
        <v>600</v>
      </c>
      <c r="G534" s="17">
        <v>1890242.2</v>
      </c>
      <c r="H534" s="216"/>
      <c r="I534" s="216"/>
      <c r="J534" s="216"/>
      <c r="K534" s="216"/>
      <c r="L534" s="17"/>
      <c r="M534" s="17"/>
      <c r="N534" s="153"/>
      <c r="O534" s="153"/>
      <c r="P534" s="206"/>
    </row>
    <row r="535" spans="1:16" s="240" customFormat="1" ht="25.5">
      <c r="A535" s="219" t="s">
        <v>79</v>
      </c>
      <c r="B535" s="215" t="s">
        <v>740</v>
      </c>
      <c r="C535" s="17">
        <f t="shared" si="26"/>
        <v>689464.73</v>
      </c>
      <c r="D535" s="216"/>
      <c r="E535" s="216"/>
      <c r="F535" s="216">
        <v>300</v>
      </c>
      <c r="G535" s="17">
        <v>689464.73</v>
      </c>
      <c r="H535" s="216"/>
      <c r="I535" s="216"/>
      <c r="J535" s="216"/>
      <c r="K535" s="216"/>
      <c r="L535" s="17"/>
      <c r="M535" s="17"/>
      <c r="N535" s="153"/>
      <c r="O535" s="153"/>
      <c r="P535" s="206"/>
    </row>
    <row r="536" spans="1:16" ht="25.5">
      <c r="A536" s="219" t="s">
        <v>80</v>
      </c>
      <c r="B536" s="215" t="s">
        <v>741</v>
      </c>
      <c r="C536" s="17">
        <f t="shared" si="26"/>
        <v>562591</v>
      </c>
      <c r="D536" s="216"/>
      <c r="E536" s="216"/>
      <c r="F536" s="216">
        <v>244</v>
      </c>
      <c r="G536" s="17">
        <v>562591</v>
      </c>
      <c r="H536" s="216"/>
      <c r="I536" s="216"/>
      <c r="J536" s="216"/>
      <c r="K536" s="216"/>
      <c r="L536" s="17"/>
      <c r="M536" s="17"/>
      <c r="N536" s="153"/>
      <c r="O536" s="153"/>
      <c r="P536" s="206"/>
    </row>
    <row r="537" spans="1:16" ht="25.5">
      <c r="A537" s="219" t="s">
        <v>81</v>
      </c>
      <c r="B537" s="215" t="s">
        <v>742</v>
      </c>
      <c r="C537" s="17">
        <f t="shared" si="26"/>
        <v>3282406.27</v>
      </c>
      <c r="D537" s="216"/>
      <c r="E537" s="216"/>
      <c r="F537" s="216">
        <v>1174</v>
      </c>
      <c r="G537" s="17">
        <v>3282406.27</v>
      </c>
      <c r="H537" s="216"/>
      <c r="I537" s="216"/>
      <c r="J537" s="216"/>
      <c r="K537" s="216"/>
      <c r="L537" s="17"/>
      <c r="M537" s="17"/>
      <c r="N537" s="153"/>
      <c r="O537" s="153"/>
      <c r="P537" s="206"/>
    </row>
    <row r="538" spans="1:16" ht="25.5">
      <c r="A538" s="219" t="s">
        <v>1230</v>
      </c>
      <c r="B538" s="215" t="s">
        <v>743</v>
      </c>
      <c r="C538" s="17">
        <f t="shared" si="26"/>
        <v>2667807.36</v>
      </c>
      <c r="D538" s="216"/>
      <c r="E538" s="216"/>
      <c r="F538" s="216">
        <v>1024</v>
      </c>
      <c r="G538" s="17">
        <v>2667807.36</v>
      </c>
      <c r="H538" s="216"/>
      <c r="I538" s="216"/>
      <c r="J538" s="216"/>
      <c r="K538" s="216"/>
      <c r="L538" s="17"/>
      <c r="M538" s="17"/>
      <c r="N538" s="153"/>
      <c r="O538" s="153"/>
      <c r="P538" s="206"/>
    </row>
    <row r="539" spans="1:16" ht="25.5">
      <c r="A539" s="219" t="s">
        <v>1231</v>
      </c>
      <c r="B539" s="215" t="s">
        <v>744</v>
      </c>
      <c r="C539" s="17">
        <f t="shared" si="26"/>
        <v>562591</v>
      </c>
      <c r="D539" s="216"/>
      <c r="E539" s="216"/>
      <c r="F539" s="216">
        <v>244</v>
      </c>
      <c r="G539" s="17">
        <v>562591</v>
      </c>
      <c r="H539" s="216"/>
      <c r="I539" s="216"/>
      <c r="J539" s="216"/>
      <c r="K539" s="216"/>
      <c r="L539" s="17"/>
      <c r="M539" s="17"/>
      <c r="N539" s="153"/>
      <c r="O539" s="153"/>
      <c r="P539" s="206"/>
    </row>
    <row r="540" spans="1:16" ht="25.5">
      <c r="A540" s="219" t="s">
        <v>1232</v>
      </c>
      <c r="B540" s="215" t="s">
        <v>745</v>
      </c>
      <c r="C540" s="17">
        <f t="shared" si="26"/>
        <v>570166</v>
      </c>
      <c r="D540" s="216"/>
      <c r="E540" s="216"/>
      <c r="F540" s="216">
        <v>244</v>
      </c>
      <c r="G540" s="17">
        <v>570166</v>
      </c>
      <c r="H540" s="216"/>
      <c r="I540" s="216"/>
      <c r="J540" s="216"/>
      <c r="K540" s="216"/>
      <c r="L540" s="17"/>
      <c r="M540" s="17"/>
      <c r="N540" s="153"/>
      <c r="O540" s="153"/>
      <c r="P540" s="206"/>
    </row>
    <row r="541" spans="1:16" ht="25.5">
      <c r="A541" s="219" t="s">
        <v>1233</v>
      </c>
      <c r="B541" s="215" t="s">
        <v>746</v>
      </c>
      <c r="C541" s="17">
        <f t="shared" si="26"/>
        <v>551195.09</v>
      </c>
      <c r="D541" s="216"/>
      <c r="E541" s="216"/>
      <c r="F541" s="216">
        <v>254</v>
      </c>
      <c r="G541" s="17">
        <v>551195.09</v>
      </c>
      <c r="H541" s="216"/>
      <c r="I541" s="216"/>
      <c r="J541" s="216"/>
      <c r="K541" s="216"/>
      <c r="L541" s="17"/>
      <c r="M541" s="17"/>
      <c r="N541" s="153"/>
      <c r="O541" s="153"/>
      <c r="P541" s="206"/>
    </row>
    <row r="542" spans="1:16" ht="25.5">
      <c r="A542" s="219" t="s">
        <v>1234</v>
      </c>
      <c r="B542" s="215" t="s">
        <v>747</v>
      </c>
      <c r="C542" s="17">
        <f t="shared" si="26"/>
        <v>576729.52</v>
      </c>
      <c r="D542" s="216"/>
      <c r="E542" s="216"/>
      <c r="F542" s="216">
        <v>254</v>
      </c>
      <c r="G542" s="17">
        <v>576729.52</v>
      </c>
      <c r="H542" s="216"/>
      <c r="I542" s="216"/>
      <c r="J542" s="216"/>
      <c r="K542" s="216"/>
      <c r="L542" s="17"/>
      <c r="M542" s="17"/>
      <c r="N542" s="153"/>
      <c r="O542" s="153"/>
      <c r="P542" s="206"/>
    </row>
    <row r="543" spans="1:16" ht="25.5">
      <c r="A543" s="219" t="s">
        <v>1235</v>
      </c>
      <c r="B543" s="215" t="s">
        <v>748</v>
      </c>
      <c r="C543" s="17">
        <f t="shared" si="26"/>
        <v>562591</v>
      </c>
      <c r="D543" s="216"/>
      <c r="E543" s="216"/>
      <c r="F543" s="216">
        <v>244</v>
      </c>
      <c r="G543" s="17">
        <v>562591</v>
      </c>
      <c r="H543" s="216"/>
      <c r="I543" s="216"/>
      <c r="J543" s="216"/>
      <c r="K543" s="216"/>
      <c r="L543" s="17"/>
      <c r="M543" s="17"/>
      <c r="N543" s="153"/>
      <c r="O543" s="153"/>
      <c r="P543" s="206"/>
    </row>
    <row r="544" spans="1:16" ht="27.75" customHeight="1">
      <c r="A544" s="219" t="s">
        <v>1251</v>
      </c>
      <c r="B544" s="215" t="s">
        <v>749</v>
      </c>
      <c r="C544" s="17">
        <f t="shared" si="26"/>
        <v>562591</v>
      </c>
      <c r="D544" s="216"/>
      <c r="E544" s="216"/>
      <c r="F544" s="216">
        <v>244</v>
      </c>
      <c r="G544" s="17">
        <v>562591</v>
      </c>
      <c r="H544" s="216"/>
      <c r="I544" s="216"/>
      <c r="J544" s="216"/>
      <c r="K544" s="216"/>
      <c r="L544" s="17"/>
      <c r="M544" s="17"/>
      <c r="N544" s="153"/>
      <c r="O544" s="153"/>
      <c r="P544" s="206"/>
    </row>
    <row r="545" spans="1:16" ht="25.5">
      <c r="A545" s="219" t="s">
        <v>1252</v>
      </c>
      <c r="B545" s="220" t="s">
        <v>469</v>
      </c>
      <c r="C545" s="17">
        <f t="shared" si="26"/>
        <v>2037037.4</v>
      </c>
      <c r="D545" s="216"/>
      <c r="E545" s="216"/>
      <c r="F545" s="216">
        <v>938</v>
      </c>
      <c r="G545" s="17">
        <v>2037037.4</v>
      </c>
      <c r="H545" s="216"/>
      <c r="I545" s="216"/>
      <c r="J545" s="216"/>
      <c r="K545" s="216"/>
      <c r="L545" s="17"/>
      <c r="M545" s="17"/>
      <c r="N545" s="153"/>
      <c r="O545" s="153"/>
      <c r="P545" s="206"/>
    </row>
    <row r="546" spans="1:16" ht="21.75" customHeight="1">
      <c r="A546" s="219" t="s">
        <v>1253</v>
      </c>
      <c r="B546" s="220" t="s">
        <v>470</v>
      </c>
      <c r="C546" s="17">
        <f t="shared" si="26"/>
        <v>1168093.23</v>
      </c>
      <c r="D546" s="216"/>
      <c r="E546" s="216"/>
      <c r="F546" s="216">
        <v>380</v>
      </c>
      <c r="G546" s="17">
        <v>1168093.23</v>
      </c>
      <c r="H546" s="216"/>
      <c r="I546" s="216"/>
      <c r="J546" s="216"/>
      <c r="K546" s="216"/>
      <c r="L546" s="17"/>
      <c r="M546" s="17"/>
      <c r="N546" s="153"/>
      <c r="O546" s="153"/>
      <c r="P546" s="206"/>
    </row>
    <row r="547" spans="1:16" ht="25.5">
      <c r="A547" s="219" t="s">
        <v>1254</v>
      </c>
      <c r="B547" s="220" t="s">
        <v>434</v>
      </c>
      <c r="C547" s="17">
        <f t="shared" si="26"/>
        <v>2696036.54</v>
      </c>
      <c r="D547" s="216"/>
      <c r="E547" s="216"/>
      <c r="F547" s="216">
        <v>960</v>
      </c>
      <c r="G547" s="17">
        <v>2696036.54</v>
      </c>
      <c r="H547" s="216"/>
      <c r="I547" s="216"/>
      <c r="J547" s="216"/>
      <c r="K547" s="216"/>
      <c r="L547" s="17"/>
      <c r="M547" s="17"/>
      <c r="N547" s="153"/>
      <c r="O547" s="153"/>
      <c r="P547" s="206"/>
    </row>
    <row r="548" spans="1:16" ht="25.5">
      <c r="A548" s="219" t="s">
        <v>1255</v>
      </c>
      <c r="B548" s="215" t="s">
        <v>750</v>
      </c>
      <c r="C548" s="17">
        <f t="shared" si="26"/>
        <v>1809329.97</v>
      </c>
      <c r="D548" s="216"/>
      <c r="E548" s="216"/>
      <c r="F548" s="216">
        <v>602</v>
      </c>
      <c r="G548" s="17">
        <v>1809329.97</v>
      </c>
      <c r="H548" s="216"/>
      <c r="I548" s="216"/>
      <c r="J548" s="216"/>
      <c r="K548" s="216"/>
      <c r="L548" s="17"/>
      <c r="M548" s="17"/>
      <c r="N548" s="153"/>
      <c r="O548" s="153"/>
      <c r="P548" s="206"/>
    </row>
    <row r="549" spans="1:16" ht="12.75">
      <c r="A549" s="219" t="s">
        <v>1256</v>
      </c>
      <c r="B549" s="220" t="s">
        <v>471</v>
      </c>
      <c r="C549" s="17">
        <f t="shared" si="26"/>
        <v>1344057.13</v>
      </c>
      <c r="D549" s="216"/>
      <c r="E549" s="216"/>
      <c r="F549" s="216">
        <v>498</v>
      </c>
      <c r="G549" s="17">
        <v>1344057.13</v>
      </c>
      <c r="H549" s="216"/>
      <c r="I549" s="216"/>
      <c r="J549" s="216"/>
      <c r="K549" s="216"/>
      <c r="L549" s="17"/>
      <c r="M549" s="17"/>
      <c r="N549" s="153"/>
      <c r="O549" s="153"/>
      <c r="P549" s="206"/>
    </row>
    <row r="550" spans="1:16" ht="12.75">
      <c r="A550" s="219" t="s">
        <v>1257</v>
      </c>
      <c r="B550" s="220" t="s">
        <v>472</v>
      </c>
      <c r="C550" s="17">
        <f t="shared" si="26"/>
        <v>657466.42</v>
      </c>
      <c r="D550" s="216"/>
      <c r="E550" s="216"/>
      <c r="F550" s="216">
        <v>240</v>
      </c>
      <c r="G550" s="17">
        <v>657466.42</v>
      </c>
      <c r="H550" s="216"/>
      <c r="I550" s="216"/>
      <c r="J550" s="216"/>
      <c r="K550" s="216"/>
      <c r="L550" s="17"/>
      <c r="M550" s="17"/>
      <c r="N550" s="153"/>
      <c r="O550" s="153"/>
      <c r="P550" s="206"/>
    </row>
    <row r="551" spans="1:16" ht="12.75">
      <c r="A551" s="219" t="s">
        <v>1258</v>
      </c>
      <c r="B551" s="220" t="s">
        <v>473</v>
      </c>
      <c r="C551" s="17">
        <f t="shared" si="26"/>
        <v>2609209.53</v>
      </c>
      <c r="D551" s="216"/>
      <c r="E551" s="216"/>
      <c r="F551" s="216">
        <v>922</v>
      </c>
      <c r="G551" s="17">
        <v>2609209.53</v>
      </c>
      <c r="H551" s="216"/>
      <c r="I551" s="216"/>
      <c r="J551" s="216"/>
      <c r="K551" s="216"/>
      <c r="L551" s="17"/>
      <c r="M551" s="17"/>
      <c r="N551" s="153"/>
      <c r="O551" s="153"/>
      <c r="P551" s="206"/>
    </row>
    <row r="552" spans="1:16" ht="12.75">
      <c r="A552" s="219" t="s">
        <v>1259</v>
      </c>
      <c r="B552" s="220" t="s">
        <v>474</v>
      </c>
      <c r="C552" s="17">
        <f t="shared" si="26"/>
        <v>1583980.75</v>
      </c>
      <c r="D552" s="216"/>
      <c r="E552" s="216"/>
      <c r="F552" s="216">
        <v>620</v>
      </c>
      <c r="G552" s="17">
        <v>1583980.75</v>
      </c>
      <c r="H552" s="216"/>
      <c r="I552" s="216"/>
      <c r="J552" s="216"/>
      <c r="K552" s="216"/>
      <c r="L552" s="17"/>
      <c r="M552" s="17"/>
      <c r="N552" s="153"/>
      <c r="O552" s="153"/>
      <c r="P552" s="206"/>
    </row>
    <row r="553" spans="1:16" ht="12.75">
      <c r="A553" s="219" t="s">
        <v>1260</v>
      </c>
      <c r="B553" s="220" t="s">
        <v>475</v>
      </c>
      <c r="C553" s="17">
        <f t="shared" si="26"/>
        <v>1568580.08</v>
      </c>
      <c r="D553" s="216"/>
      <c r="E553" s="216"/>
      <c r="F553" s="216">
        <v>576</v>
      </c>
      <c r="G553" s="17">
        <v>1568580.08</v>
      </c>
      <c r="H553" s="216"/>
      <c r="I553" s="216"/>
      <c r="J553" s="216"/>
      <c r="K553" s="216"/>
      <c r="L553" s="17"/>
      <c r="M553" s="17"/>
      <c r="N553" s="153"/>
      <c r="O553" s="153"/>
      <c r="P553" s="206"/>
    </row>
    <row r="554" spans="1:16" ht="12.75">
      <c r="A554" s="219" t="s">
        <v>1261</v>
      </c>
      <c r="B554" s="220" t="s">
        <v>476</v>
      </c>
      <c r="C554" s="17">
        <f t="shared" si="26"/>
        <v>1540282.98</v>
      </c>
      <c r="D554" s="216"/>
      <c r="E554" s="216"/>
      <c r="F554" s="216">
        <v>602</v>
      </c>
      <c r="G554" s="17">
        <v>1540282.98</v>
      </c>
      <c r="H554" s="216"/>
      <c r="I554" s="216"/>
      <c r="J554" s="216"/>
      <c r="K554" s="216"/>
      <c r="L554" s="17"/>
      <c r="M554" s="17"/>
      <c r="N554" s="153"/>
      <c r="O554" s="153"/>
      <c r="P554" s="206"/>
    </row>
    <row r="555" spans="1:16" ht="12.75">
      <c r="A555" s="219" t="s">
        <v>1262</v>
      </c>
      <c r="B555" s="220" t="s">
        <v>468</v>
      </c>
      <c r="C555" s="17">
        <f t="shared" si="26"/>
        <v>695795.65</v>
      </c>
      <c r="D555" s="216"/>
      <c r="E555" s="216"/>
      <c r="F555" s="216">
        <v>250</v>
      </c>
      <c r="G555" s="17">
        <v>695795.65</v>
      </c>
      <c r="H555" s="216"/>
      <c r="I555" s="216"/>
      <c r="J555" s="216"/>
      <c r="K555" s="216"/>
      <c r="L555" s="17"/>
      <c r="M555" s="17"/>
      <c r="N555" s="153"/>
      <c r="O555" s="153"/>
      <c r="P555" s="206"/>
    </row>
    <row r="556" spans="1:16" ht="25.5">
      <c r="A556" s="219" t="s">
        <v>927</v>
      </c>
      <c r="B556" s="220" t="s">
        <v>878</v>
      </c>
      <c r="C556" s="17">
        <f t="shared" si="26"/>
        <v>921676.5</v>
      </c>
      <c r="D556" s="17"/>
      <c r="E556" s="17"/>
      <c r="F556" s="17">
        <v>253</v>
      </c>
      <c r="G556" s="17">
        <v>921676.5</v>
      </c>
      <c r="H556" s="17"/>
      <c r="I556" s="216"/>
      <c r="J556" s="216"/>
      <c r="K556" s="216"/>
      <c r="L556" s="17"/>
      <c r="M556" s="17"/>
      <c r="N556" s="153"/>
      <c r="O556" s="153"/>
      <c r="P556" s="206"/>
    </row>
    <row r="557" spans="1:16" ht="25.5">
      <c r="A557" s="219" t="s">
        <v>928</v>
      </c>
      <c r="B557" s="220" t="s">
        <v>1491</v>
      </c>
      <c r="C557" s="17">
        <f t="shared" si="26"/>
        <v>2458084.52</v>
      </c>
      <c r="D557" s="17"/>
      <c r="E557" s="17"/>
      <c r="F557" s="17">
        <v>940.9</v>
      </c>
      <c r="G557" s="17">
        <v>2458084.52</v>
      </c>
      <c r="H557" s="17"/>
      <c r="I557" s="216"/>
      <c r="J557" s="216"/>
      <c r="K557" s="216"/>
      <c r="L557" s="17"/>
      <c r="M557" s="17"/>
      <c r="N557" s="153"/>
      <c r="O557" s="153"/>
      <c r="P557" s="206"/>
    </row>
    <row r="558" spans="1:16" ht="12.75">
      <c r="A558" s="219" t="s">
        <v>929</v>
      </c>
      <c r="B558" s="220" t="s">
        <v>481</v>
      </c>
      <c r="C558" s="17">
        <f t="shared" si="26"/>
        <v>2513504.18</v>
      </c>
      <c r="D558" s="17">
        <v>2513504.18</v>
      </c>
      <c r="E558" s="17"/>
      <c r="F558" s="17"/>
      <c r="G558" s="17"/>
      <c r="H558" s="17"/>
      <c r="I558" s="216"/>
      <c r="J558" s="216"/>
      <c r="K558" s="216"/>
      <c r="L558" s="17"/>
      <c r="M558" s="17"/>
      <c r="N558" s="153"/>
      <c r="O558" s="153"/>
      <c r="P558" s="206"/>
    </row>
    <row r="559" spans="1:16" ht="25.5">
      <c r="A559" s="219" t="s">
        <v>930</v>
      </c>
      <c r="B559" s="220" t="s">
        <v>1327</v>
      </c>
      <c r="C559" s="17">
        <f t="shared" si="26"/>
        <v>2380153.4</v>
      </c>
      <c r="D559" s="17">
        <v>2380153.4</v>
      </c>
      <c r="E559" s="17"/>
      <c r="F559" s="17"/>
      <c r="G559" s="17"/>
      <c r="H559" s="17"/>
      <c r="I559" s="216"/>
      <c r="J559" s="216"/>
      <c r="K559" s="216"/>
      <c r="L559" s="17"/>
      <c r="M559" s="17"/>
      <c r="N559" s="153"/>
      <c r="O559" s="153"/>
      <c r="P559" s="206"/>
    </row>
    <row r="560" spans="1:16" ht="30.75" customHeight="1">
      <c r="A560" s="219" t="s">
        <v>931</v>
      </c>
      <c r="B560" s="220" t="s">
        <v>880</v>
      </c>
      <c r="C560" s="17">
        <f t="shared" si="26"/>
        <v>1813414.75</v>
      </c>
      <c r="D560" s="17"/>
      <c r="E560" s="17"/>
      <c r="F560" s="17">
        <v>447</v>
      </c>
      <c r="G560" s="17">
        <v>1813414.75</v>
      </c>
      <c r="H560" s="17"/>
      <c r="I560" s="216"/>
      <c r="J560" s="216"/>
      <c r="K560" s="216"/>
      <c r="L560" s="17"/>
      <c r="M560" s="17"/>
      <c r="N560" s="153"/>
      <c r="O560" s="153"/>
      <c r="P560" s="206"/>
    </row>
    <row r="561" spans="1:16" ht="25.5">
      <c r="A561" s="219" t="s">
        <v>932</v>
      </c>
      <c r="B561" s="220" t="s">
        <v>879</v>
      </c>
      <c r="C561" s="17">
        <f t="shared" si="26"/>
        <v>1239064.68</v>
      </c>
      <c r="D561" s="17"/>
      <c r="E561" s="17"/>
      <c r="F561" s="17">
        <v>387</v>
      </c>
      <c r="G561" s="17">
        <v>1239064.68</v>
      </c>
      <c r="H561" s="17"/>
      <c r="I561" s="216"/>
      <c r="J561" s="216"/>
      <c r="K561" s="216"/>
      <c r="L561" s="17"/>
      <c r="M561" s="17"/>
      <c r="N561" s="153"/>
      <c r="O561" s="153"/>
      <c r="P561" s="206"/>
    </row>
    <row r="562" spans="1:16" ht="25.5">
      <c r="A562" s="219" t="s">
        <v>933</v>
      </c>
      <c r="B562" s="220" t="s">
        <v>881</v>
      </c>
      <c r="C562" s="17">
        <f t="shared" si="26"/>
        <v>1974031.91</v>
      </c>
      <c r="D562" s="17"/>
      <c r="E562" s="17"/>
      <c r="F562" s="17">
        <v>442</v>
      </c>
      <c r="G562" s="17">
        <v>1974031.91</v>
      </c>
      <c r="H562" s="17"/>
      <c r="I562" s="216"/>
      <c r="J562" s="216"/>
      <c r="K562" s="216"/>
      <c r="L562" s="17"/>
      <c r="M562" s="17"/>
      <c r="N562" s="153"/>
      <c r="O562" s="153"/>
      <c r="P562" s="206"/>
    </row>
    <row r="563" spans="1:16" ht="28.5" customHeight="1">
      <c r="A563" s="219" t="s">
        <v>934</v>
      </c>
      <c r="B563" s="220" t="s">
        <v>882</v>
      </c>
      <c r="C563" s="17">
        <f t="shared" si="26"/>
        <v>2530287.69</v>
      </c>
      <c r="D563" s="17"/>
      <c r="E563" s="17"/>
      <c r="F563" s="17">
        <v>664</v>
      </c>
      <c r="G563" s="17">
        <v>2530287.69</v>
      </c>
      <c r="H563" s="17"/>
      <c r="I563" s="216"/>
      <c r="J563" s="216"/>
      <c r="K563" s="216"/>
      <c r="L563" s="17"/>
      <c r="M563" s="17"/>
      <c r="N563" s="153"/>
      <c r="O563" s="153"/>
      <c r="P563" s="206"/>
    </row>
    <row r="564" spans="1:16" ht="27" customHeight="1">
      <c r="A564" s="219" t="s">
        <v>935</v>
      </c>
      <c r="B564" s="220" t="s">
        <v>1270</v>
      </c>
      <c r="C564" s="17">
        <f t="shared" si="26"/>
        <v>2806655.41</v>
      </c>
      <c r="D564" s="17"/>
      <c r="E564" s="17"/>
      <c r="F564" s="17">
        <v>1210.3</v>
      </c>
      <c r="G564" s="17">
        <v>2806655.41</v>
      </c>
      <c r="H564" s="17"/>
      <c r="I564" s="216"/>
      <c r="J564" s="216"/>
      <c r="K564" s="216"/>
      <c r="L564" s="17"/>
      <c r="M564" s="17"/>
      <c r="N564" s="153"/>
      <c r="O564" s="153"/>
      <c r="P564" s="206"/>
    </row>
    <row r="565" spans="1:16" ht="25.5">
      <c r="A565" s="219" t="s">
        <v>936</v>
      </c>
      <c r="B565" s="220" t="s">
        <v>1271</v>
      </c>
      <c r="C565" s="17">
        <f t="shared" si="26"/>
        <v>5360639.61</v>
      </c>
      <c r="D565" s="17"/>
      <c r="E565" s="17"/>
      <c r="F565" s="17">
        <v>1916.8</v>
      </c>
      <c r="G565" s="17">
        <v>5360639.61</v>
      </c>
      <c r="H565" s="17"/>
      <c r="I565" s="216"/>
      <c r="J565" s="216"/>
      <c r="K565" s="216"/>
      <c r="L565" s="17"/>
      <c r="M565" s="17"/>
      <c r="N565" s="153"/>
      <c r="O565" s="153"/>
      <c r="P565" s="206"/>
    </row>
    <row r="566" spans="1:16" ht="25.5">
      <c r="A566" s="219" t="s">
        <v>937</v>
      </c>
      <c r="B566" s="220" t="s">
        <v>1272</v>
      </c>
      <c r="C566" s="17">
        <f t="shared" si="26"/>
        <v>1956680</v>
      </c>
      <c r="D566" s="17"/>
      <c r="E566" s="17"/>
      <c r="F566" s="17">
        <v>891.3</v>
      </c>
      <c r="G566" s="17">
        <v>1956680</v>
      </c>
      <c r="H566" s="17"/>
      <c r="I566" s="216"/>
      <c r="J566" s="216"/>
      <c r="K566" s="216"/>
      <c r="L566" s="17"/>
      <c r="M566" s="17"/>
      <c r="N566" s="153"/>
      <c r="O566" s="153"/>
      <c r="P566" s="206"/>
    </row>
    <row r="567" spans="1:16" ht="25.5">
      <c r="A567" s="219" t="s">
        <v>938</v>
      </c>
      <c r="B567" s="220" t="s">
        <v>1273</v>
      </c>
      <c r="C567" s="17">
        <f t="shared" si="26"/>
        <v>2693536.99</v>
      </c>
      <c r="D567" s="220"/>
      <c r="E567" s="220"/>
      <c r="F567" s="17" t="s">
        <v>127</v>
      </c>
      <c r="G567" s="17">
        <v>2693536.99</v>
      </c>
      <c r="H567" s="220"/>
      <c r="I567" s="220"/>
      <c r="J567" s="216"/>
      <c r="K567" s="216"/>
      <c r="L567" s="17"/>
      <c r="M567" s="17"/>
      <c r="N567" s="153"/>
      <c r="O567" s="153"/>
      <c r="P567" s="206"/>
    </row>
    <row r="568" spans="1:16" ht="25.5">
      <c r="A568" s="219" t="s">
        <v>939</v>
      </c>
      <c r="B568" s="220" t="s">
        <v>1328</v>
      </c>
      <c r="C568" s="17">
        <f t="shared" si="26"/>
        <v>1174147.53</v>
      </c>
      <c r="D568" s="17"/>
      <c r="E568" s="17"/>
      <c r="F568" s="17">
        <v>585</v>
      </c>
      <c r="G568" s="17">
        <v>1174147.53</v>
      </c>
      <c r="H568" s="17"/>
      <c r="I568" s="216"/>
      <c r="J568" s="216"/>
      <c r="K568" s="216"/>
      <c r="L568" s="17"/>
      <c r="M568" s="17"/>
      <c r="N568" s="153"/>
      <c r="O568" s="153"/>
      <c r="P568" s="206"/>
    </row>
    <row r="569" spans="1:16" ht="25.5">
      <c r="A569" s="219" t="s">
        <v>940</v>
      </c>
      <c r="B569" s="220" t="s">
        <v>1274</v>
      </c>
      <c r="C569" s="17">
        <f t="shared" si="26"/>
        <v>6199587.48</v>
      </c>
      <c r="D569" s="17"/>
      <c r="E569" s="17"/>
      <c r="F569" s="17">
        <v>2647.09</v>
      </c>
      <c r="G569" s="17">
        <v>6199587.48</v>
      </c>
      <c r="H569" s="17"/>
      <c r="I569" s="216"/>
      <c r="J569" s="216"/>
      <c r="K569" s="216"/>
      <c r="L569" s="17"/>
      <c r="M569" s="17"/>
      <c r="N569" s="153"/>
      <c r="O569" s="153"/>
      <c r="P569" s="206"/>
    </row>
    <row r="570" spans="1:16" ht="12.75">
      <c r="A570" s="219" t="s">
        <v>941</v>
      </c>
      <c r="B570" s="220" t="s">
        <v>465</v>
      </c>
      <c r="C570" s="17">
        <f t="shared" si="26"/>
        <v>1505267.83</v>
      </c>
      <c r="D570" s="17">
        <v>1317856.57</v>
      </c>
      <c r="E570" s="17">
        <v>187411.26</v>
      </c>
      <c r="F570" s="17"/>
      <c r="G570" s="17"/>
      <c r="H570" s="218"/>
      <c r="I570" s="218"/>
      <c r="J570" s="218"/>
      <c r="K570" s="218"/>
      <c r="L570" s="218"/>
      <c r="M570" s="218"/>
      <c r="N570" s="153"/>
      <c r="O570" s="153"/>
      <c r="P570" s="206"/>
    </row>
    <row r="571" spans="1:16" ht="12.75">
      <c r="A571" s="198"/>
      <c r="B571" s="202" t="s">
        <v>1437</v>
      </c>
      <c r="C571" s="201">
        <f>SUM(C531:C570)</f>
        <v>77142571.60999998</v>
      </c>
      <c r="D571" s="201">
        <f>SUM(D531:D570)</f>
        <v>6211514.15</v>
      </c>
      <c r="E571" s="201">
        <f>SUM(E531:E570)</f>
        <v>187411.26</v>
      </c>
      <c r="F571" s="201">
        <f>SUM(F531:F570)</f>
        <v>26488.39</v>
      </c>
      <c r="G571" s="201">
        <f>SUM(G531:G570)</f>
        <v>70743646.19999999</v>
      </c>
      <c r="H571" s="218"/>
      <c r="I571" s="218"/>
      <c r="J571" s="218"/>
      <c r="K571" s="218"/>
      <c r="L571" s="218"/>
      <c r="M571" s="218"/>
      <c r="N571" s="153"/>
      <c r="O571" s="153"/>
      <c r="P571" s="206"/>
    </row>
    <row r="572" spans="1:16" ht="12.75">
      <c r="A572" s="337" t="s">
        <v>1373</v>
      </c>
      <c r="B572" s="338"/>
      <c r="C572" s="338"/>
      <c r="D572" s="338"/>
      <c r="E572" s="338"/>
      <c r="F572" s="338"/>
      <c r="G572" s="338"/>
      <c r="H572" s="338"/>
      <c r="I572" s="338"/>
      <c r="J572" s="338"/>
      <c r="K572" s="338"/>
      <c r="L572" s="338"/>
      <c r="M572" s="338"/>
      <c r="N572" s="338"/>
      <c r="O572" s="338"/>
      <c r="P572" s="339"/>
    </row>
    <row r="573" spans="1:16" ht="25.5">
      <c r="A573" s="214">
        <v>138</v>
      </c>
      <c r="B573" s="215" t="s">
        <v>751</v>
      </c>
      <c r="C573" s="17">
        <f>D573+E573+G573+I573+K573+M573</f>
        <v>4926085.840000001</v>
      </c>
      <c r="D573" s="216">
        <v>3646456.14</v>
      </c>
      <c r="E573" s="17">
        <v>630658.05</v>
      </c>
      <c r="F573" s="17">
        <v>399.6</v>
      </c>
      <c r="G573" s="17">
        <v>648971.65</v>
      </c>
      <c r="H573" s="153"/>
      <c r="I573" s="153"/>
      <c r="J573" s="17"/>
      <c r="K573" s="153"/>
      <c r="L573" s="153"/>
      <c r="M573" s="153"/>
      <c r="N573" s="153"/>
      <c r="O573" s="153"/>
      <c r="P573" s="206"/>
    </row>
    <row r="574" spans="1:16" ht="25.5">
      <c r="A574" s="214">
        <v>139</v>
      </c>
      <c r="B574" s="215" t="s">
        <v>752</v>
      </c>
      <c r="C574" s="17">
        <f aca="true" t="shared" si="27" ref="C574:C603">D574+E574+G574+I574+K574+M574</f>
        <v>5624536.78</v>
      </c>
      <c r="D574" s="216">
        <v>4901693.38</v>
      </c>
      <c r="E574" s="17">
        <v>722843.4</v>
      </c>
      <c r="F574" s="17"/>
      <c r="G574" s="17"/>
      <c r="H574" s="153"/>
      <c r="I574" s="153"/>
      <c r="J574" s="17"/>
      <c r="K574" s="153"/>
      <c r="L574" s="153"/>
      <c r="M574" s="153"/>
      <c r="N574" s="153"/>
      <c r="O574" s="153"/>
      <c r="P574" s="206"/>
    </row>
    <row r="575" spans="1:16" ht="25.5">
      <c r="A575" s="214">
        <v>140</v>
      </c>
      <c r="B575" s="215" t="s">
        <v>753</v>
      </c>
      <c r="C575" s="17">
        <f t="shared" si="27"/>
        <v>6700950.25</v>
      </c>
      <c r="D575" s="216">
        <v>4290797.14</v>
      </c>
      <c r="E575" s="17">
        <v>715774.78</v>
      </c>
      <c r="F575" s="17">
        <v>954.2</v>
      </c>
      <c r="G575" s="17">
        <v>1694378.33</v>
      </c>
      <c r="H575" s="153"/>
      <c r="I575" s="153"/>
      <c r="J575" s="17"/>
      <c r="K575" s="153"/>
      <c r="L575" s="153"/>
      <c r="M575" s="153"/>
      <c r="N575" s="153"/>
      <c r="O575" s="153"/>
      <c r="P575" s="206"/>
    </row>
    <row r="576" spans="1:16" ht="25.5">
      <c r="A576" s="214">
        <v>141</v>
      </c>
      <c r="B576" s="215" t="s">
        <v>754</v>
      </c>
      <c r="C576" s="17">
        <f t="shared" si="27"/>
        <v>6689346.34</v>
      </c>
      <c r="D576" s="216">
        <v>5911709.2</v>
      </c>
      <c r="E576" s="17">
        <v>777637.14</v>
      </c>
      <c r="F576" s="17"/>
      <c r="G576" s="17"/>
      <c r="H576" s="153"/>
      <c r="I576" s="153"/>
      <c r="J576" s="17"/>
      <c r="K576" s="153"/>
      <c r="L576" s="153"/>
      <c r="M576" s="153"/>
      <c r="N576" s="153"/>
      <c r="O576" s="153"/>
      <c r="P576" s="206"/>
    </row>
    <row r="577" spans="1:16" ht="25.5">
      <c r="A577" s="214">
        <v>142</v>
      </c>
      <c r="B577" s="215" t="s">
        <v>755</v>
      </c>
      <c r="C577" s="17">
        <f t="shared" si="27"/>
        <v>12674722.2</v>
      </c>
      <c r="D577" s="216">
        <v>7373014.79</v>
      </c>
      <c r="E577" s="17">
        <v>604922.65</v>
      </c>
      <c r="F577" s="17">
        <v>1668</v>
      </c>
      <c r="G577" s="17">
        <v>4696784.76</v>
      </c>
      <c r="H577" s="153"/>
      <c r="I577" s="153"/>
      <c r="J577" s="17"/>
      <c r="K577" s="153"/>
      <c r="L577" s="153"/>
      <c r="M577" s="153"/>
      <c r="N577" s="153"/>
      <c r="O577" s="153"/>
      <c r="P577" s="206"/>
    </row>
    <row r="578" spans="1:16" ht="25.5">
      <c r="A578" s="214">
        <v>143</v>
      </c>
      <c r="B578" s="215" t="s">
        <v>756</v>
      </c>
      <c r="C578" s="17">
        <f t="shared" si="27"/>
        <v>5983172.15</v>
      </c>
      <c r="D578" s="216">
        <v>4132494.33</v>
      </c>
      <c r="E578" s="17">
        <v>298344.91</v>
      </c>
      <c r="F578" s="17">
        <v>889.4</v>
      </c>
      <c r="G578" s="17">
        <v>1552332.91</v>
      </c>
      <c r="H578" s="153"/>
      <c r="I578" s="153"/>
      <c r="J578" s="17"/>
      <c r="K578" s="153"/>
      <c r="L578" s="153"/>
      <c r="M578" s="153"/>
      <c r="N578" s="153"/>
      <c r="O578" s="153"/>
      <c r="P578" s="206"/>
    </row>
    <row r="579" spans="1:16" ht="25.5">
      <c r="A579" s="214">
        <v>144</v>
      </c>
      <c r="B579" s="215" t="s">
        <v>757</v>
      </c>
      <c r="C579" s="17">
        <f t="shared" si="27"/>
        <v>6465909.58</v>
      </c>
      <c r="D579" s="216">
        <v>5943747.26</v>
      </c>
      <c r="E579" s="17">
        <v>522162.32</v>
      </c>
      <c r="F579" s="17"/>
      <c r="G579" s="17"/>
      <c r="H579" s="153"/>
      <c r="I579" s="153"/>
      <c r="J579" s="17"/>
      <c r="K579" s="153"/>
      <c r="L579" s="153"/>
      <c r="M579" s="153"/>
      <c r="N579" s="153"/>
      <c r="O579" s="153"/>
      <c r="P579" s="206"/>
    </row>
    <row r="580" spans="1:16" ht="25.5">
      <c r="A580" s="214">
        <v>145</v>
      </c>
      <c r="B580" s="215" t="s">
        <v>758</v>
      </c>
      <c r="C580" s="17">
        <f t="shared" si="27"/>
        <v>5025534.99</v>
      </c>
      <c r="D580" s="216">
        <v>2174237.22</v>
      </c>
      <c r="E580" s="17">
        <v>300133.13</v>
      </c>
      <c r="F580" s="17">
        <v>890</v>
      </c>
      <c r="G580" s="17">
        <v>2551164.64</v>
      </c>
      <c r="H580" s="153"/>
      <c r="I580" s="153"/>
      <c r="J580" s="17"/>
      <c r="K580" s="153"/>
      <c r="L580" s="153"/>
      <c r="M580" s="153"/>
      <c r="N580" s="153"/>
      <c r="O580" s="153"/>
      <c r="P580" s="206"/>
    </row>
    <row r="581" spans="1:16" ht="25.5">
      <c r="A581" s="214">
        <v>146</v>
      </c>
      <c r="B581" s="215" t="s">
        <v>759</v>
      </c>
      <c r="C581" s="17">
        <f t="shared" si="27"/>
        <v>7235053.4</v>
      </c>
      <c r="D581" s="216">
        <v>3577518.23</v>
      </c>
      <c r="E581" s="17">
        <v>310559.85</v>
      </c>
      <c r="F581" s="17">
        <v>998.7</v>
      </c>
      <c r="G581" s="17">
        <v>3346975.32</v>
      </c>
      <c r="H581" s="153"/>
      <c r="I581" s="153"/>
      <c r="J581" s="17"/>
      <c r="K581" s="153"/>
      <c r="L581" s="153"/>
      <c r="M581" s="153"/>
      <c r="N581" s="153"/>
      <c r="O581" s="153"/>
      <c r="P581" s="206"/>
    </row>
    <row r="582" spans="1:16" ht="25.5">
      <c r="A582" s="214">
        <v>147</v>
      </c>
      <c r="B582" s="215" t="s">
        <v>809</v>
      </c>
      <c r="C582" s="17">
        <f t="shared" si="27"/>
        <v>14792985.51</v>
      </c>
      <c r="D582" s="216">
        <v>11358941.18</v>
      </c>
      <c r="E582" s="17">
        <v>658936.68</v>
      </c>
      <c r="F582" s="17">
        <v>1876.7</v>
      </c>
      <c r="G582" s="17">
        <v>2775107.65</v>
      </c>
      <c r="H582" s="153"/>
      <c r="I582" s="153"/>
      <c r="J582" s="17"/>
      <c r="K582" s="153"/>
      <c r="L582" s="153"/>
      <c r="M582" s="153"/>
      <c r="N582" s="153"/>
      <c r="O582" s="153"/>
      <c r="P582" s="206"/>
    </row>
    <row r="583" spans="1:16" ht="25.5">
      <c r="A583" s="214">
        <v>148</v>
      </c>
      <c r="B583" s="215" t="s">
        <v>810</v>
      </c>
      <c r="C583" s="17">
        <f t="shared" si="27"/>
        <v>7045182.0600000005</v>
      </c>
      <c r="D583" s="216">
        <v>6350215.62</v>
      </c>
      <c r="E583" s="17">
        <v>694966.44</v>
      </c>
      <c r="F583" s="17"/>
      <c r="G583" s="17"/>
      <c r="H583" s="153"/>
      <c r="I583" s="153"/>
      <c r="J583" s="17"/>
      <c r="K583" s="153"/>
      <c r="L583" s="153"/>
      <c r="M583" s="153"/>
      <c r="N583" s="153"/>
      <c r="O583" s="153"/>
      <c r="P583" s="206"/>
    </row>
    <row r="584" spans="1:16" ht="25.5">
      <c r="A584" s="214">
        <v>149</v>
      </c>
      <c r="B584" s="215" t="s">
        <v>811</v>
      </c>
      <c r="C584" s="17">
        <f t="shared" si="27"/>
        <v>7789960.0200000005</v>
      </c>
      <c r="D584" s="216">
        <v>7039265.11</v>
      </c>
      <c r="E584" s="17">
        <v>750694.91</v>
      </c>
      <c r="F584" s="17"/>
      <c r="G584" s="17"/>
      <c r="H584" s="153"/>
      <c r="I584" s="153"/>
      <c r="J584" s="17"/>
      <c r="K584" s="153"/>
      <c r="L584" s="153"/>
      <c r="M584" s="153"/>
      <c r="N584" s="153"/>
      <c r="O584" s="153"/>
      <c r="P584" s="206"/>
    </row>
    <row r="585" spans="1:16" ht="25.5">
      <c r="A585" s="214">
        <v>150</v>
      </c>
      <c r="B585" s="215" t="s">
        <v>812</v>
      </c>
      <c r="C585" s="17">
        <f t="shared" si="27"/>
        <v>5105303.59</v>
      </c>
      <c r="D585" s="216">
        <v>3331251.28</v>
      </c>
      <c r="E585" s="17">
        <v>317338.98</v>
      </c>
      <c r="F585" s="17">
        <v>890.1</v>
      </c>
      <c r="G585" s="17">
        <v>1456713.33</v>
      </c>
      <c r="H585" s="153"/>
      <c r="I585" s="153"/>
      <c r="J585" s="17"/>
      <c r="K585" s="153"/>
      <c r="L585" s="153"/>
      <c r="M585" s="153"/>
      <c r="N585" s="153"/>
      <c r="O585" s="153"/>
      <c r="P585" s="206"/>
    </row>
    <row r="586" spans="1:16" ht="25.5">
      <c r="A586" s="214">
        <v>151</v>
      </c>
      <c r="B586" s="20" t="s">
        <v>1509</v>
      </c>
      <c r="C586" s="17">
        <f t="shared" si="27"/>
        <v>1875651.53</v>
      </c>
      <c r="D586" s="216"/>
      <c r="E586" s="216"/>
      <c r="F586" s="216">
        <v>521</v>
      </c>
      <c r="G586" s="17">
        <v>1875651.53</v>
      </c>
      <c r="H586" s="216"/>
      <c r="I586" s="216"/>
      <c r="J586" s="216"/>
      <c r="K586" s="216"/>
      <c r="L586" s="216"/>
      <c r="M586" s="216"/>
      <c r="N586" s="153"/>
      <c r="O586" s="17"/>
      <c r="P586" s="206"/>
    </row>
    <row r="587" spans="1:16" ht="25.5">
      <c r="A587" s="214">
        <v>152</v>
      </c>
      <c r="B587" s="20" t="s">
        <v>982</v>
      </c>
      <c r="C587" s="17">
        <f t="shared" si="27"/>
        <v>2945440.13</v>
      </c>
      <c r="D587" s="216"/>
      <c r="E587" s="216"/>
      <c r="F587" s="216">
        <v>1825</v>
      </c>
      <c r="G587" s="17">
        <v>2945440.13</v>
      </c>
      <c r="H587" s="216"/>
      <c r="I587" s="216"/>
      <c r="J587" s="216"/>
      <c r="K587" s="216"/>
      <c r="L587" s="216"/>
      <c r="M587" s="216"/>
      <c r="N587" s="153"/>
      <c r="O587" s="17"/>
      <c r="P587" s="206"/>
    </row>
    <row r="588" spans="1:16" ht="25.5">
      <c r="A588" s="214">
        <v>153</v>
      </c>
      <c r="B588" s="20" t="s">
        <v>4</v>
      </c>
      <c r="C588" s="17">
        <f t="shared" si="27"/>
        <v>3431928.56</v>
      </c>
      <c r="D588" s="216"/>
      <c r="E588" s="216"/>
      <c r="F588" s="216">
        <v>942</v>
      </c>
      <c r="G588" s="17">
        <v>3431928.56</v>
      </c>
      <c r="H588" s="216"/>
      <c r="I588" s="216"/>
      <c r="J588" s="216"/>
      <c r="K588" s="216"/>
      <c r="L588" s="216"/>
      <c r="M588" s="216"/>
      <c r="N588" s="153"/>
      <c r="O588" s="17"/>
      <c r="P588" s="206"/>
    </row>
    <row r="589" spans="1:16" ht="25.5">
      <c r="A589" s="214">
        <v>154</v>
      </c>
      <c r="B589" s="20" t="s">
        <v>1511</v>
      </c>
      <c r="C589" s="17">
        <f t="shared" si="27"/>
        <v>7015268.66</v>
      </c>
      <c r="D589" s="216"/>
      <c r="E589" s="216"/>
      <c r="F589" s="216">
        <v>774</v>
      </c>
      <c r="G589" s="216">
        <v>2709132.07</v>
      </c>
      <c r="H589" s="225">
        <v>2</v>
      </c>
      <c r="I589" s="216">
        <v>4306136.59</v>
      </c>
      <c r="J589" s="216"/>
      <c r="K589" s="216"/>
      <c r="L589" s="216"/>
      <c r="M589" s="216"/>
      <c r="N589" s="153"/>
      <c r="O589" s="17"/>
      <c r="P589" s="206"/>
    </row>
    <row r="590" spans="1:16" ht="38.25">
      <c r="A590" s="214">
        <v>155</v>
      </c>
      <c r="B590" s="20" t="s">
        <v>883</v>
      </c>
      <c r="C590" s="17">
        <f t="shared" si="27"/>
        <v>3984043.54</v>
      </c>
      <c r="D590" s="216"/>
      <c r="E590" s="216"/>
      <c r="F590" s="216">
        <v>957</v>
      </c>
      <c r="G590" s="17">
        <v>3984043.54</v>
      </c>
      <c r="H590" s="216"/>
      <c r="I590" s="216"/>
      <c r="J590" s="216"/>
      <c r="K590" s="216"/>
      <c r="L590" s="216"/>
      <c r="M590" s="216"/>
      <c r="N590" s="153"/>
      <c r="O590" s="17"/>
      <c r="P590" s="206"/>
    </row>
    <row r="591" spans="1:16" ht="25.5">
      <c r="A591" s="214">
        <v>156</v>
      </c>
      <c r="B591" s="20" t="s">
        <v>1513</v>
      </c>
      <c r="C591" s="17">
        <f t="shared" si="27"/>
        <v>3901958.05</v>
      </c>
      <c r="D591" s="216"/>
      <c r="E591" s="216"/>
      <c r="F591" s="216">
        <v>1068.4</v>
      </c>
      <c r="G591" s="17">
        <v>3901958.05</v>
      </c>
      <c r="H591" s="216"/>
      <c r="I591" s="216"/>
      <c r="J591" s="216"/>
      <c r="K591" s="216"/>
      <c r="L591" s="216"/>
      <c r="M591" s="216"/>
      <c r="N591" s="153"/>
      <c r="O591" s="17"/>
      <c r="P591" s="206"/>
    </row>
    <row r="592" spans="1:16" ht="25.5">
      <c r="A592" s="214">
        <v>157</v>
      </c>
      <c r="B592" s="20" t="s">
        <v>1514</v>
      </c>
      <c r="C592" s="17">
        <f t="shared" si="27"/>
        <v>2192370</v>
      </c>
      <c r="D592" s="216"/>
      <c r="E592" s="216"/>
      <c r="F592" s="216">
        <v>1199</v>
      </c>
      <c r="G592" s="17">
        <v>2192370</v>
      </c>
      <c r="H592" s="216"/>
      <c r="I592" s="216"/>
      <c r="J592" s="216"/>
      <c r="K592" s="216"/>
      <c r="L592" s="216"/>
      <c r="M592" s="216"/>
      <c r="N592" s="153"/>
      <c r="O592" s="17"/>
      <c r="P592" s="206"/>
    </row>
    <row r="593" spans="1:16" ht="25.5">
      <c r="A593" s="214">
        <v>158</v>
      </c>
      <c r="B593" s="21" t="s">
        <v>1515</v>
      </c>
      <c r="C593" s="17">
        <f t="shared" si="27"/>
        <v>1588184.68</v>
      </c>
      <c r="D593" s="216"/>
      <c r="E593" s="216"/>
      <c r="F593" s="216">
        <v>880</v>
      </c>
      <c r="G593" s="17">
        <v>1588184.68</v>
      </c>
      <c r="H593" s="216"/>
      <c r="I593" s="216"/>
      <c r="J593" s="216"/>
      <c r="K593" s="216"/>
      <c r="L593" s="216"/>
      <c r="M593" s="216"/>
      <c r="N593" s="153"/>
      <c r="O593" s="17"/>
      <c r="P593" s="206"/>
    </row>
    <row r="594" spans="1:16" ht="25.5">
      <c r="A594" s="214">
        <v>159</v>
      </c>
      <c r="B594" s="20" t="s">
        <v>1516</v>
      </c>
      <c r="C594" s="17">
        <f t="shared" si="27"/>
        <v>1427770</v>
      </c>
      <c r="D594" s="216"/>
      <c r="E594" s="216"/>
      <c r="F594" s="216">
        <v>785.6</v>
      </c>
      <c r="G594" s="17">
        <v>1427770</v>
      </c>
      <c r="H594" s="216"/>
      <c r="I594" s="216"/>
      <c r="J594" s="216"/>
      <c r="K594" s="216"/>
      <c r="L594" s="216"/>
      <c r="M594" s="216"/>
      <c r="N594" s="153"/>
      <c r="O594" s="17"/>
      <c r="P594" s="206"/>
    </row>
    <row r="595" spans="1:16" ht="25.5">
      <c r="A595" s="214">
        <v>160</v>
      </c>
      <c r="B595" s="20" t="s">
        <v>1517</v>
      </c>
      <c r="C595" s="17">
        <f t="shared" si="27"/>
        <v>1422831.87</v>
      </c>
      <c r="D595" s="17">
        <v>1422831.87</v>
      </c>
      <c r="E595" s="216"/>
      <c r="F595" s="216"/>
      <c r="G595" s="216"/>
      <c r="H595" s="216"/>
      <c r="I595" s="216"/>
      <c r="J595" s="216"/>
      <c r="K595" s="216"/>
      <c r="L595" s="216"/>
      <c r="M595" s="216"/>
      <c r="N595" s="153"/>
      <c r="O595" s="17"/>
      <c r="P595" s="206"/>
    </row>
    <row r="596" spans="1:16" ht="25.5">
      <c r="A596" s="214">
        <v>161</v>
      </c>
      <c r="B596" s="20" t="s">
        <v>1518</v>
      </c>
      <c r="C596" s="17">
        <f t="shared" si="27"/>
        <v>1564376.79</v>
      </c>
      <c r="D596" s="216"/>
      <c r="E596" s="216"/>
      <c r="F596" s="216">
        <v>883</v>
      </c>
      <c r="G596" s="17">
        <v>1564376.79</v>
      </c>
      <c r="H596" s="216"/>
      <c r="I596" s="216"/>
      <c r="J596" s="216"/>
      <c r="K596" s="216"/>
      <c r="L596" s="216"/>
      <c r="M596" s="216"/>
      <c r="N596" s="153"/>
      <c r="O596" s="17"/>
      <c r="P596" s="206"/>
    </row>
    <row r="597" spans="1:16" ht="25.5">
      <c r="A597" s="214">
        <v>162</v>
      </c>
      <c r="B597" s="20" t="s">
        <v>884</v>
      </c>
      <c r="C597" s="17">
        <f t="shared" si="27"/>
        <v>1523714.15</v>
      </c>
      <c r="D597" s="17">
        <v>1523714.15</v>
      </c>
      <c r="E597" s="216"/>
      <c r="F597" s="216"/>
      <c r="G597" s="216"/>
      <c r="H597" s="216"/>
      <c r="I597" s="216"/>
      <c r="J597" s="216"/>
      <c r="K597" s="216"/>
      <c r="L597" s="216"/>
      <c r="M597" s="216"/>
      <c r="N597" s="153"/>
      <c r="O597" s="17"/>
      <c r="P597" s="206"/>
    </row>
    <row r="598" spans="1:16" ht="25.5">
      <c r="A598" s="214">
        <v>163</v>
      </c>
      <c r="B598" s="21" t="s">
        <v>104</v>
      </c>
      <c r="C598" s="17">
        <f t="shared" si="27"/>
        <v>2882642.14</v>
      </c>
      <c r="D598" s="216"/>
      <c r="E598" s="216"/>
      <c r="F598" s="216">
        <v>1206</v>
      </c>
      <c r="G598" s="17">
        <v>2882642.14</v>
      </c>
      <c r="H598" s="216"/>
      <c r="I598" s="216"/>
      <c r="J598" s="216"/>
      <c r="K598" s="216"/>
      <c r="L598" s="216"/>
      <c r="M598" s="216"/>
      <c r="N598" s="153"/>
      <c r="O598" s="17"/>
      <c r="P598" s="206"/>
    </row>
    <row r="599" spans="1:16" ht="25.5">
      <c r="A599" s="214">
        <v>164</v>
      </c>
      <c r="B599" s="20" t="s">
        <v>985</v>
      </c>
      <c r="C599" s="17">
        <f t="shared" si="27"/>
        <v>4535739.52</v>
      </c>
      <c r="D599" s="17">
        <v>4535739.52</v>
      </c>
      <c r="E599" s="216"/>
      <c r="F599" s="216"/>
      <c r="G599" s="216"/>
      <c r="H599" s="216"/>
      <c r="I599" s="216"/>
      <c r="J599" s="216"/>
      <c r="K599" s="216"/>
      <c r="L599" s="216"/>
      <c r="M599" s="216"/>
      <c r="N599" s="153"/>
      <c r="O599" s="17"/>
      <c r="P599" s="206"/>
    </row>
    <row r="600" spans="1:16" ht="25.5">
      <c r="A600" s="214">
        <v>165</v>
      </c>
      <c r="B600" s="20" t="s">
        <v>1519</v>
      </c>
      <c r="C600" s="17">
        <f t="shared" si="27"/>
        <v>1523531.48</v>
      </c>
      <c r="D600" s="216"/>
      <c r="E600" s="216"/>
      <c r="F600" s="216">
        <v>578</v>
      </c>
      <c r="G600" s="17">
        <v>1523531.48</v>
      </c>
      <c r="H600" s="216"/>
      <c r="I600" s="216"/>
      <c r="J600" s="216"/>
      <c r="K600" s="216"/>
      <c r="L600" s="216"/>
      <c r="M600" s="216"/>
      <c r="N600" s="153"/>
      <c r="O600" s="17"/>
      <c r="P600" s="206"/>
    </row>
    <row r="601" spans="1:16" ht="25.5">
      <c r="A601" s="214">
        <v>166</v>
      </c>
      <c r="B601" s="20" t="s">
        <v>979</v>
      </c>
      <c r="C601" s="17">
        <f t="shared" si="27"/>
        <v>1429025.88</v>
      </c>
      <c r="D601" s="18">
        <v>1429025.88</v>
      </c>
      <c r="E601" s="216"/>
      <c r="F601" s="216"/>
      <c r="G601" s="216"/>
      <c r="H601" s="216"/>
      <c r="I601" s="216"/>
      <c r="J601" s="216"/>
      <c r="K601" s="216"/>
      <c r="L601" s="216"/>
      <c r="M601" s="216"/>
      <c r="N601" s="153"/>
      <c r="O601" s="18"/>
      <c r="P601" s="206"/>
    </row>
    <row r="602" spans="1:16" ht="25.5">
      <c r="A602" s="214">
        <v>167</v>
      </c>
      <c r="B602" s="20" t="s">
        <v>885</v>
      </c>
      <c r="C602" s="17">
        <f t="shared" si="27"/>
        <v>1949642.66</v>
      </c>
      <c r="D602" s="216"/>
      <c r="E602" s="216"/>
      <c r="F602" s="216">
        <v>1158</v>
      </c>
      <c r="G602" s="17">
        <v>1949642.66</v>
      </c>
      <c r="H602" s="216"/>
      <c r="I602" s="216"/>
      <c r="J602" s="216"/>
      <c r="K602" s="216"/>
      <c r="L602" s="216"/>
      <c r="M602" s="216"/>
      <c r="N602" s="153"/>
      <c r="O602" s="17"/>
      <c r="P602" s="206"/>
    </row>
    <row r="603" spans="1:16" ht="25.5">
      <c r="A603" s="214">
        <v>168</v>
      </c>
      <c r="B603" s="20" t="s">
        <v>886</v>
      </c>
      <c r="C603" s="17">
        <f t="shared" si="27"/>
        <v>1441094.64</v>
      </c>
      <c r="D603" s="216"/>
      <c r="E603" s="216"/>
      <c r="F603" s="216">
        <v>1052</v>
      </c>
      <c r="G603" s="17">
        <v>1441094.64</v>
      </c>
      <c r="H603" s="216"/>
      <c r="I603" s="216"/>
      <c r="J603" s="216"/>
      <c r="K603" s="216"/>
      <c r="L603" s="216"/>
      <c r="M603" s="216"/>
      <c r="N603" s="153"/>
      <c r="O603" s="17"/>
      <c r="P603" s="206"/>
    </row>
    <row r="604" spans="1:16" ht="12.75">
      <c r="A604" s="198"/>
      <c r="B604" s="202" t="s">
        <v>1437</v>
      </c>
      <c r="C604" s="218">
        <f aca="true" t="shared" si="28" ref="C604:I604">SUM(C573:C603)</f>
        <v>142693956.98999998</v>
      </c>
      <c r="D604" s="218">
        <f t="shared" si="28"/>
        <v>78942652.29999998</v>
      </c>
      <c r="E604" s="218">
        <f t="shared" si="28"/>
        <v>7304973.24</v>
      </c>
      <c r="F604" s="218">
        <f t="shared" si="28"/>
        <v>22395.699999999997</v>
      </c>
      <c r="G604" s="218">
        <f t="shared" si="28"/>
        <v>52140194.85999999</v>
      </c>
      <c r="H604" s="223">
        <f t="shared" si="28"/>
        <v>2</v>
      </c>
      <c r="I604" s="218">
        <f t="shared" si="28"/>
        <v>4306136.59</v>
      </c>
      <c r="J604" s="218"/>
      <c r="K604" s="218"/>
      <c r="L604" s="218"/>
      <c r="M604" s="218"/>
      <c r="N604" s="153"/>
      <c r="O604" s="153"/>
      <c r="P604" s="206"/>
    </row>
    <row r="605" spans="1:16" ht="14.25" customHeight="1">
      <c r="A605" s="346" t="s">
        <v>1374</v>
      </c>
      <c r="B605" s="347"/>
      <c r="C605" s="347"/>
      <c r="D605" s="347"/>
      <c r="E605" s="347"/>
      <c r="F605" s="347"/>
      <c r="G605" s="347"/>
      <c r="H605" s="347"/>
      <c r="I605" s="347"/>
      <c r="J605" s="347"/>
      <c r="K605" s="347"/>
      <c r="L605" s="347"/>
      <c r="M605" s="347"/>
      <c r="N605" s="347"/>
      <c r="O605" s="347"/>
      <c r="P605" s="348"/>
    </row>
    <row r="606" spans="1:16" ht="38.25">
      <c r="A606" s="214">
        <v>169</v>
      </c>
      <c r="B606" s="215" t="s">
        <v>435</v>
      </c>
      <c r="C606" s="17">
        <f>D606+E606+G606+I606+K606+M606</f>
        <v>1136488.27</v>
      </c>
      <c r="D606" s="17">
        <v>1136488.27</v>
      </c>
      <c r="E606" s="17"/>
      <c r="F606" s="17"/>
      <c r="G606" s="17"/>
      <c r="H606" s="17"/>
      <c r="I606" s="153"/>
      <c r="J606" s="153"/>
      <c r="K606" s="153"/>
      <c r="L606" s="153"/>
      <c r="M606" s="153"/>
      <c r="N606" s="153"/>
      <c r="O606" s="153"/>
      <c r="P606" s="206"/>
    </row>
    <row r="607" spans="1:16" ht="38.25">
      <c r="A607" s="214">
        <v>170</v>
      </c>
      <c r="B607" s="215" t="s">
        <v>436</v>
      </c>
      <c r="C607" s="17">
        <v>4322528.01</v>
      </c>
      <c r="D607" s="17">
        <v>4322528.01</v>
      </c>
      <c r="E607" s="17"/>
      <c r="F607" s="17"/>
      <c r="G607" s="17"/>
      <c r="H607" s="17"/>
      <c r="I607" s="153"/>
      <c r="J607" s="153"/>
      <c r="K607" s="153"/>
      <c r="L607" s="153"/>
      <c r="M607" s="153"/>
      <c r="N607" s="153"/>
      <c r="O607" s="153"/>
      <c r="P607" s="206"/>
    </row>
    <row r="608" spans="1:16" ht="38.25">
      <c r="A608" s="214">
        <v>171</v>
      </c>
      <c r="B608" s="215" t="s">
        <v>437</v>
      </c>
      <c r="C608" s="17">
        <v>3227775.51</v>
      </c>
      <c r="D608" s="17">
        <v>3227775.51</v>
      </c>
      <c r="E608" s="17"/>
      <c r="F608" s="17"/>
      <c r="G608" s="17"/>
      <c r="H608" s="17"/>
      <c r="I608" s="153"/>
      <c r="J608" s="153"/>
      <c r="K608" s="153"/>
      <c r="L608" s="153"/>
      <c r="M608" s="153"/>
      <c r="N608" s="153"/>
      <c r="O608" s="153"/>
      <c r="P608" s="206"/>
    </row>
    <row r="609" spans="1:16" ht="25.5">
      <c r="A609" s="214">
        <v>172</v>
      </c>
      <c r="B609" s="215" t="s">
        <v>813</v>
      </c>
      <c r="C609" s="17">
        <v>5116598.92</v>
      </c>
      <c r="D609" s="216">
        <v>2235971.55</v>
      </c>
      <c r="E609" s="17"/>
      <c r="F609" s="17">
        <v>900</v>
      </c>
      <c r="G609" s="17">
        <v>2880627.37</v>
      </c>
      <c r="H609" s="17"/>
      <c r="I609" s="153"/>
      <c r="J609" s="153"/>
      <c r="K609" s="153"/>
      <c r="L609" s="153"/>
      <c r="M609" s="153"/>
      <c r="N609" s="153"/>
      <c r="O609" s="153"/>
      <c r="P609" s="206"/>
    </row>
    <row r="610" spans="1:16" ht="25.5">
      <c r="A610" s="214">
        <v>173</v>
      </c>
      <c r="B610" s="215" t="s">
        <v>814</v>
      </c>
      <c r="C610" s="17">
        <v>1333317.93</v>
      </c>
      <c r="D610" s="17">
        <v>1333317.93</v>
      </c>
      <c r="E610" s="17"/>
      <c r="F610" s="17"/>
      <c r="G610" s="17"/>
      <c r="H610" s="17"/>
      <c r="I610" s="153"/>
      <c r="J610" s="153"/>
      <c r="K610" s="153"/>
      <c r="L610" s="153"/>
      <c r="M610" s="153"/>
      <c r="N610" s="153"/>
      <c r="O610" s="153"/>
      <c r="P610" s="206"/>
    </row>
    <row r="611" spans="1:16" ht="25.5">
      <c r="A611" s="214">
        <v>174</v>
      </c>
      <c r="B611" s="215" t="s">
        <v>615</v>
      </c>
      <c r="C611" s="17">
        <v>700210.95</v>
      </c>
      <c r="D611" s="17">
        <v>481724.37</v>
      </c>
      <c r="E611" s="17">
        <v>218486.58</v>
      </c>
      <c r="F611" s="17"/>
      <c r="G611" s="17"/>
      <c r="H611" s="17"/>
      <c r="I611" s="153"/>
      <c r="J611" s="153"/>
      <c r="K611" s="153"/>
      <c r="L611" s="153"/>
      <c r="M611" s="153"/>
      <c r="N611" s="153"/>
      <c r="O611" s="153"/>
      <c r="P611" s="206"/>
    </row>
    <row r="612" spans="1:16" ht="25.5" customHeight="1">
      <c r="A612" s="214">
        <v>175</v>
      </c>
      <c r="B612" s="215" t="s">
        <v>73</v>
      </c>
      <c r="C612" s="17">
        <v>554427.34</v>
      </c>
      <c r="D612" s="17">
        <v>554427.34</v>
      </c>
      <c r="E612" s="17"/>
      <c r="F612" s="17"/>
      <c r="G612" s="17"/>
      <c r="H612" s="17"/>
      <c r="I612" s="153"/>
      <c r="J612" s="153"/>
      <c r="K612" s="153"/>
      <c r="L612" s="153"/>
      <c r="M612" s="153"/>
      <c r="N612" s="153"/>
      <c r="O612" s="153"/>
      <c r="P612" s="206"/>
    </row>
    <row r="613" spans="1:16" ht="12.75">
      <c r="A613" s="198"/>
      <c r="B613" s="202" t="s">
        <v>1437</v>
      </c>
      <c r="C613" s="218">
        <f>SUM(C606:C612)</f>
        <v>16391346.929999998</v>
      </c>
      <c r="D613" s="218">
        <f>SUM(D606:D612)</f>
        <v>13292232.979999999</v>
      </c>
      <c r="E613" s="218">
        <f>SUM(E606:E612)</f>
        <v>218486.58</v>
      </c>
      <c r="F613" s="218">
        <f>SUM(F606:F612)</f>
        <v>900</v>
      </c>
      <c r="G613" s="218">
        <f>SUM(G606:G612)</f>
        <v>2880627.37</v>
      </c>
      <c r="H613" s="153"/>
      <c r="I613" s="153"/>
      <c r="J613" s="153"/>
      <c r="K613" s="153"/>
      <c r="L613" s="153"/>
      <c r="M613" s="153"/>
      <c r="N613" s="153"/>
      <c r="O613" s="153"/>
      <c r="P613" s="206"/>
    </row>
    <row r="614" spans="1:16" ht="12.75">
      <c r="A614" s="346" t="s">
        <v>1375</v>
      </c>
      <c r="B614" s="347"/>
      <c r="C614" s="347"/>
      <c r="D614" s="347"/>
      <c r="E614" s="347"/>
      <c r="F614" s="347"/>
      <c r="G614" s="347"/>
      <c r="H614" s="347"/>
      <c r="I614" s="347"/>
      <c r="J614" s="347"/>
      <c r="K614" s="347"/>
      <c r="L614" s="347"/>
      <c r="M614" s="347"/>
      <c r="N614" s="347"/>
      <c r="O614" s="347"/>
      <c r="P614" s="348"/>
    </row>
    <row r="615" spans="1:16" ht="25.5">
      <c r="A615" s="224">
        <v>176</v>
      </c>
      <c r="B615" s="241" t="s">
        <v>1427</v>
      </c>
      <c r="C615" s="17">
        <f>D615+E615+G615+I615+K615+M615+O615</f>
        <v>3636113.06</v>
      </c>
      <c r="D615" s="216">
        <v>1650612.4</v>
      </c>
      <c r="E615" s="216">
        <v>302948.14</v>
      </c>
      <c r="F615" s="216">
        <v>726</v>
      </c>
      <c r="G615" s="216">
        <v>1682552.52</v>
      </c>
      <c r="H615" s="216"/>
      <c r="I615" s="216"/>
      <c r="J615" s="216"/>
      <c r="K615" s="216"/>
      <c r="L615" s="216"/>
      <c r="M615" s="216"/>
      <c r="N615" s="216"/>
      <c r="O615" s="216"/>
      <c r="P615" s="206"/>
    </row>
    <row r="616" spans="1:16" ht="25.5">
      <c r="A616" s="224">
        <v>177</v>
      </c>
      <c r="B616" s="241" t="s">
        <v>1428</v>
      </c>
      <c r="C616" s="17">
        <f aca="true" t="shared" si="29" ref="C616:C678">D616+E616+G616+I616+K616+M616+O616</f>
        <v>3780233.1599999997</v>
      </c>
      <c r="D616" s="216">
        <v>1649490.67</v>
      </c>
      <c r="E616" s="216">
        <v>300600.11</v>
      </c>
      <c r="F616" s="216">
        <v>613</v>
      </c>
      <c r="G616" s="216">
        <v>1830142.38</v>
      </c>
      <c r="H616" s="216"/>
      <c r="I616" s="216"/>
      <c r="J616" s="216"/>
      <c r="K616" s="216"/>
      <c r="L616" s="216"/>
      <c r="M616" s="216"/>
      <c r="N616" s="216"/>
      <c r="O616" s="216"/>
      <c r="P616" s="206"/>
    </row>
    <row r="617" spans="1:16" ht="25.5">
      <c r="A617" s="224">
        <v>178</v>
      </c>
      <c r="B617" s="241" t="s">
        <v>1429</v>
      </c>
      <c r="C617" s="17">
        <f t="shared" si="29"/>
        <v>1181515.53</v>
      </c>
      <c r="D617" s="216">
        <v>577328.92</v>
      </c>
      <c r="E617" s="216"/>
      <c r="F617" s="216">
        <v>381.7</v>
      </c>
      <c r="G617" s="216">
        <v>604186.61</v>
      </c>
      <c r="H617" s="216"/>
      <c r="I617" s="216"/>
      <c r="J617" s="216"/>
      <c r="K617" s="216"/>
      <c r="L617" s="216"/>
      <c r="M617" s="216"/>
      <c r="N617" s="216"/>
      <c r="O617" s="216"/>
      <c r="P617" s="206"/>
    </row>
    <row r="618" spans="1:16" ht="25.5">
      <c r="A618" s="224">
        <v>179</v>
      </c>
      <c r="B618" s="241" t="s">
        <v>1430</v>
      </c>
      <c r="C618" s="17">
        <f t="shared" si="29"/>
        <v>1960955.97</v>
      </c>
      <c r="D618" s="216">
        <v>1641935.01</v>
      </c>
      <c r="E618" s="216">
        <v>319020.96</v>
      </c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06"/>
    </row>
    <row r="619" spans="1:16" ht="25.5">
      <c r="A619" s="224">
        <v>180</v>
      </c>
      <c r="B619" s="241" t="s">
        <v>627</v>
      </c>
      <c r="C619" s="17">
        <f t="shared" si="29"/>
        <v>3090662.41</v>
      </c>
      <c r="D619" s="216"/>
      <c r="E619" s="216"/>
      <c r="F619" s="216">
        <v>1204</v>
      </c>
      <c r="G619" s="17">
        <v>3090662.41</v>
      </c>
      <c r="H619" s="216"/>
      <c r="I619" s="216"/>
      <c r="J619" s="216"/>
      <c r="K619" s="216"/>
      <c r="L619" s="216"/>
      <c r="M619" s="216"/>
      <c r="N619" s="216"/>
      <c r="O619" s="216"/>
      <c r="P619" s="206"/>
    </row>
    <row r="620" spans="1:16" ht="25.5">
      <c r="A620" s="224">
        <v>181</v>
      </c>
      <c r="B620" s="241" t="s">
        <v>628</v>
      </c>
      <c r="C620" s="17">
        <f t="shared" si="29"/>
        <v>5799836.4399999995</v>
      </c>
      <c r="D620" s="216">
        <v>2936266.17</v>
      </c>
      <c r="E620" s="216">
        <v>288764.24</v>
      </c>
      <c r="F620" s="216">
        <v>915</v>
      </c>
      <c r="G620" s="216">
        <v>2574806.03</v>
      </c>
      <c r="H620" s="216"/>
      <c r="I620" s="216"/>
      <c r="J620" s="216"/>
      <c r="K620" s="216"/>
      <c r="L620" s="216"/>
      <c r="M620" s="216"/>
      <c r="N620" s="216"/>
      <c r="O620" s="216"/>
      <c r="P620" s="206"/>
    </row>
    <row r="621" spans="1:16" ht="25.5">
      <c r="A621" s="224">
        <v>182</v>
      </c>
      <c r="B621" s="241" t="s">
        <v>887</v>
      </c>
      <c r="C621" s="17">
        <f t="shared" si="29"/>
        <v>5021574.85</v>
      </c>
      <c r="D621" s="17">
        <v>5021574.85</v>
      </c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06"/>
    </row>
    <row r="622" spans="1:16" ht="25.5">
      <c r="A622" s="224">
        <v>183</v>
      </c>
      <c r="B622" s="241" t="s">
        <v>888</v>
      </c>
      <c r="C622" s="17">
        <f t="shared" si="29"/>
        <v>4650177.67</v>
      </c>
      <c r="D622" s="216">
        <v>4123260.34</v>
      </c>
      <c r="E622" s="216">
        <v>526917.33</v>
      </c>
      <c r="F622" s="216"/>
      <c r="G622" s="216"/>
      <c r="H622" s="216"/>
      <c r="I622" s="216"/>
      <c r="J622" s="216"/>
      <c r="K622" s="216"/>
      <c r="L622" s="216"/>
      <c r="M622" s="216"/>
      <c r="N622" s="216"/>
      <c r="O622" s="216"/>
      <c r="P622" s="206"/>
    </row>
    <row r="623" spans="1:16" ht="25.5">
      <c r="A623" s="224">
        <v>184</v>
      </c>
      <c r="B623" s="241" t="s">
        <v>889</v>
      </c>
      <c r="C623" s="17">
        <f t="shared" si="29"/>
        <v>13933554.31</v>
      </c>
      <c r="D623" s="216">
        <v>11861109.55</v>
      </c>
      <c r="E623" s="216">
        <v>2072444.76</v>
      </c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06"/>
    </row>
    <row r="624" spans="1:16" ht="25.5">
      <c r="A624" s="224">
        <v>185</v>
      </c>
      <c r="B624" s="241" t="s">
        <v>890</v>
      </c>
      <c r="C624" s="17">
        <f t="shared" si="29"/>
        <v>3493666.98</v>
      </c>
      <c r="D624" s="216">
        <v>2824512.73</v>
      </c>
      <c r="E624" s="216">
        <v>669154.25</v>
      </c>
      <c r="F624" s="216"/>
      <c r="G624" s="216"/>
      <c r="H624" s="216"/>
      <c r="I624" s="216"/>
      <c r="J624" s="216"/>
      <c r="K624" s="216"/>
      <c r="L624" s="216"/>
      <c r="M624" s="216"/>
      <c r="N624" s="216"/>
      <c r="O624" s="216"/>
      <c r="P624" s="206"/>
    </row>
    <row r="625" spans="1:16" ht="25.5">
      <c r="A625" s="224">
        <v>186</v>
      </c>
      <c r="B625" s="241" t="s">
        <v>1447</v>
      </c>
      <c r="C625" s="17">
        <f t="shared" si="29"/>
        <v>2523470.0900000003</v>
      </c>
      <c r="D625" s="216">
        <v>2171422.66</v>
      </c>
      <c r="E625" s="216">
        <v>352047.43</v>
      </c>
      <c r="F625" s="216"/>
      <c r="G625" s="216"/>
      <c r="H625" s="216"/>
      <c r="I625" s="216"/>
      <c r="J625" s="216"/>
      <c r="K625" s="216"/>
      <c r="L625" s="216"/>
      <c r="M625" s="216"/>
      <c r="N625" s="216"/>
      <c r="O625" s="216"/>
      <c r="P625" s="206"/>
    </row>
    <row r="626" spans="1:16" ht="25.5">
      <c r="A626" s="224">
        <v>187</v>
      </c>
      <c r="B626" s="241" t="s">
        <v>688</v>
      </c>
      <c r="C626" s="17">
        <f t="shared" si="29"/>
        <v>1504534.32</v>
      </c>
      <c r="D626" s="216"/>
      <c r="E626" s="216"/>
      <c r="F626" s="216">
        <v>3134</v>
      </c>
      <c r="G626" s="17">
        <v>1504534.32</v>
      </c>
      <c r="H626" s="216"/>
      <c r="I626" s="216"/>
      <c r="J626" s="216"/>
      <c r="K626" s="216"/>
      <c r="L626" s="216"/>
      <c r="M626" s="216"/>
      <c r="N626" s="216"/>
      <c r="O626" s="216"/>
      <c r="P626" s="206"/>
    </row>
    <row r="627" spans="1:16" ht="25.5">
      <c r="A627" s="224">
        <v>188</v>
      </c>
      <c r="B627" s="241" t="s">
        <v>689</v>
      </c>
      <c r="C627" s="17">
        <f t="shared" si="29"/>
        <v>4800589.44</v>
      </c>
      <c r="D627" s="216">
        <v>2856324.04</v>
      </c>
      <c r="E627" s="216"/>
      <c r="F627" s="216">
        <v>957</v>
      </c>
      <c r="G627" s="216">
        <v>1492548.04</v>
      </c>
      <c r="H627" s="216"/>
      <c r="I627" s="216"/>
      <c r="J627" s="216">
        <v>330</v>
      </c>
      <c r="K627" s="216">
        <v>451717.36</v>
      </c>
      <c r="L627" s="216"/>
      <c r="M627" s="216"/>
      <c r="N627" s="216"/>
      <c r="O627" s="216"/>
      <c r="P627" s="206"/>
    </row>
    <row r="628" spans="1:16" ht="25.5">
      <c r="A628" s="224">
        <v>189</v>
      </c>
      <c r="B628" s="241" t="s">
        <v>815</v>
      </c>
      <c r="C628" s="17">
        <f t="shared" si="29"/>
        <v>3150530.43</v>
      </c>
      <c r="D628" s="216"/>
      <c r="E628" s="216"/>
      <c r="F628" s="216">
        <v>1256</v>
      </c>
      <c r="G628" s="216">
        <v>3150530.43</v>
      </c>
      <c r="H628" s="216"/>
      <c r="I628" s="216"/>
      <c r="J628" s="216"/>
      <c r="K628" s="216"/>
      <c r="L628" s="216"/>
      <c r="M628" s="216"/>
      <c r="N628" s="216"/>
      <c r="O628" s="216"/>
      <c r="P628" s="206"/>
    </row>
    <row r="629" spans="1:16" ht="25.5">
      <c r="A629" s="224">
        <v>190</v>
      </c>
      <c r="B629" s="241" t="s">
        <v>816</v>
      </c>
      <c r="C629" s="17">
        <f t="shared" si="29"/>
        <v>2829386.38</v>
      </c>
      <c r="D629" s="216">
        <v>2768802.52</v>
      </c>
      <c r="E629" s="216">
        <v>60583.86</v>
      </c>
      <c r="F629" s="216"/>
      <c r="G629" s="216"/>
      <c r="H629" s="216"/>
      <c r="I629" s="216"/>
      <c r="J629" s="216"/>
      <c r="K629" s="216"/>
      <c r="L629" s="216"/>
      <c r="M629" s="216"/>
      <c r="N629" s="216"/>
      <c r="O629" s="216"/>
      <c r="P629" s="206"/>
    </row>
    <row r="630" spans="1:16" ht="25.5">
      <c r="A630" s="224">
        <v>191</v>
      </c>
      <c r="B630" s="241" t="s">
        <v>817</v>
      </c>
      <c r="C630" s="17">
        <f t="shared" si="29"/>
        <v>3579320.84</v>
      </c>
      <c r="D630" s="216">
        <v>1188283.96</v>
      </c>
      <c r="E630" s="216"/>
      <c r="F630" s="216">
        <v>922</v>
      </c>
      <c r="G630" s="216">
        <v>2391036.88</v>
      </c>
      <c r="H630" s="216"/>
      <c r="I630" s="216"/>
      <c r="J630" s="216"/>
      <c r="K630" s="216"/>
      <c r="L630" s="216"/>
      <c r="M630" s="216"/>
      <c r="N630" s="216"/>
      <c r="O630" s="216"/>
      <c r="P630" s="206"/>
    </row>
    <row r="631" spans="1:16" ht="25.5">
      <c r="A631" s="224">
        <v>192</v>
      </c>
      <c r="B631" s="241" t="s">
        <v>693</v>
      </c>
      <c r="C631" s="17">
        <f t="shared" si="29"/>
        <v>2632408.14</v>
      </c>
      <c r="D631" s="216"/>
      <c r="E631" s="216"/>
      <c r="F631" s="216">
        <v>977</v>
      </c>
      <c r="G631" s="17">
        <v>2632408.14</v>
      </c>
      <c r="H631" s="216"/>
      <c r="I631" s="216"/>
      <c r="J631" s="216"/>
      <c r="K631" s="216"/>
      <c r="L631" s="216"/>
      <c r="M631" s="216"/>
      <c r="N631" s="216"/>
      <c r="O631" s="216"/>
      <c r="P631" s="206"/>
    </row>
    <row r="632" spans="1:16" ht="25.5">
      <c r="A632" s="224">
        <v>193</v>
      </c>
      <c r="B632" s="241" t="s">
        <v>818</v>
      </c>
      <c r="C632" s="17">
        <f t="shared" si="29"/>
        <v>3820595.87</v>
      </c>
      <c r="D632" s="216">
        <v>3211906.15</v>
      </c>
      <c r="E632" s="216">
        <v>608689.72</v>
      </c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06"/>
    </row>
    <row r="633" spans="1:16" ht="25.5">
      <c r="A633" s="224">
        <v>194</v>
      </c>
      <c r="B633" s="241" t="s">
        <v>962</v>
      </c>
      <c r="C633" s="17">
        <f t="shared" si="29"/>
        <v>2232597.71</v>
      </c>
      <c r="D633" s="216"/>
      <c r="E633" s="216"/>
      <c r="F633" s="216">
        <v>954</v>
      </c>
      <c r="G633" s="17">
        <v>2232597.71</v>
      </c>
      <c r="H633" s="216"/>
      <c r="I633" s="216"/>
      <c r="J633" s="216"/>
      <c r="K633" s="216"/>
      <c r="L633" s="216"/>
      <c r="M633" s="216"/>
      <c r="N633" s="216"/>
      <c r="O633" s="216"/>
      <c r="P633" s="206"/>
    </row>
    <row r="634" spans="1:16" ht="25.5">
      <c r="A634" s="224">
        <v>195</v>
      </c>
      <c r="B634" s="241" t="s">
        <v>695</v>
      </c>
      <c r="C634" s="17">
        <f t="shared" si="29"/>
        <v>9490385.09</v>
      </c>
      <c r="D634" s="216">
        <v>4586872.22</v>
      </c>
      <c r="E634" s="216">
        <v>2262090.15</v>
      </c>
      <c r="F634" s="216">
        <v>1495.7</v>
      </c>
      <c r="G634" s="216">
        <v>2641422.72</v>
      </c>
      <c r="H634" s="216"/>
      <c r="I634" s="216"/>
      <c r="J634" s="216"/>
      <c r="K634" s="216"/>
      <c r="L634" s="216"/>
      <c r="M634" s="216"/>
      <c r="N634" s="216"/>
      <c r="O634" s="216"/>
      <c r="P634" s="206"/>
    </row>
    <row r="635" spans="1:16" ht="25.5">
      <c r="A635" s="224">
        <v>196</v>
      </c>
      <c r="B635" s="241" t="s">
        <v>1448</v>
      </c>
      <c r="C635" s="17">
        <f t="shared" si="29"/>
        <v>4596360.87</v>
      </c>
      <c r="D635" s="216">
        <v>3749510.32</v>
      </c>
      <c r="E635" s="216">
        <v>846850.55</v>
      </c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06"/>
    </row>
    <row r="636" spans="1:16" ht="38.25">
      <c r="A636" s="224">
        <v>197</v>
      </c>
      <c r="B636" s="241" t="s">
        <v>1449</v>
      </c>
      <c r="C636" s="17">
        <f t="shared" si="29"/>
        <v>3693224.2</v>
      </c>
      <c r="D636" s="216"/>
      <c r="E636" s="216"/>
      <c r="F636" s="216"/>
      <c r="G636" s="216"/>
      <c r="H636" s="225">
        <v>2</v>
      </c>
      <c r="I636" s="17">
        <v>3693224.2</v>
      </c>
      <c r="J636" s="216"/>
      <c r="K636" s="216"/>
      <c r="L636" s="216"/>
      <c r="M636" s="216"/>
      <c r="N636" s="216"/>
      <c r="O636" s="216"/>
      <c r="P636" s="206"/>
    </row>
    <row r="637" spans="1:16" ht="38.25">
      <c r="A637" s="224">
        <v>198</v>
      </c>
      <c r="B637" s="241" t="s">
        <v>1450</v>
      </c>
      <c r="C637" s="17">
        <f t="shared" si="29"/>
        <v>15143701.49</v>
      </c>
      <c r="D637" s="216">
        <v>12220068.8</v>
      </c>
      <c r="E637" s="216">
        <v>2923632.69</v>
      </c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06"/>
    </row>
    <row r="638" spans="1:16" ht="25.5">
      <c r="A638" s="224">
        <v>199</v>
      </c>
      <c r="B638" s="241" t="s">
        <v>1329</v>
      </c>
      <c r="C638" s="17">
        <f t="shared" si="29"/>
        <v>1015471.92</v>
      </c>
      <c r="D638" s="17">
        <v>1015471.92</v>
      </c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06"/>
    </row>
    <row r="639" spans="1:16" ht="25.5">
      <c r="A639" s="224">
        <v>200</v>
      </c>
      <c r="B639" s="241" t="s">
        <v>330</v>
      </c>
      <c r="C639" s="17">
        <f t="shared" si="29"/>
        <v>3560386.29</v>
      </c>
      <c r="D639" s="216">
        <v>3182320.89</v>
      </c>
      <c r="E639" s="216">
        <v>378065.4</v>
      </c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06"/>
    </row>
    <row r="640" spans="1:16" ht="25.5">
      <c r="A640" s="224">
        <v>201</v>
      </c>
      <c r="B640" s="241" t="s">
        <v>1620</v>
      </c>
      <c r="C640" s="17">
        <f t="shared" si="29"/>
        <v>3001890.18</v>
      </c>
      <c r="D640" s="216"/>
      <c r="E640" s="216"/>
      <c r="F640" s="216">
        <v>1198</v>
      </c>
      <c r="G640" s="17">
        <v>3001890.18</v>
      </c>
      <c r="H640" s="216"/>
      <c r="I640" s="216"/>
      <c r="J640" s="216"/>
      <c r="K640" s="216"/>
      <c r="L640" s="216"/>
      <c r="M640" s="216"/>
      <c r="N640" s="216"/>
      <c r="O640" s="216"/>
      <c r="P640" s="206"/>
    </row>
    <row r="641" spans="1:16" ht="25.5">
      <c r="A641" s="224">
        <v>202</v>
      </c>
      <c r="B641" s="241" t="s">
        <v>1621</v>
      </c>
      <c r="C641" s="17">
        <f t="shared" si="29"/>
        <v>3616690.34</v>
      </c>
      <c r="D641" s="216">
        <v>3203756.35</v>
      </c>
      <c r="E641" s="216">
        <v>412933.99</v>
      </c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06"/>
    </row>
    <row r="642" spans="1:16" ht="25.5">
      <c r="A642" s="224">
        <v>203</v>
      </c>
      <c r="B642" s="241" t="s">
        <v>819</v>
      </c>
      <c r="C642" s="17">
        <f t="shared" si="29"/>
        <v>547604</v>
      </c>
      <c r="D642" s="17">
        <v>547604</v>
      </c>
      <c r="E642" s="216"/>
      <c r="F642" s="216"/>
      <c r="G642" s="216"/>
      <c r="H642" s="216"/>
      <c r="I642" s="216"/>
      <c r="J642" s="216"/>
      <c r="K642" s="216"/>
      <c r="L642" s="216"/>
      <c r="M642" s="216"/>
      <c r="N642" s="216"/>
      <c r="O642" s="216"/>
      <c r="P642" s="206"/>
    </row>
    <row r="643" spans="1:16" ht="25.5">
      <c r="A643" s="224">
        <v>204</v>
      </c>
      <c r="B643" s="241" t="s">
        <v>820</v>
      </c>
      <c r="C643" s="17">
        <f t="shared" si="29"/>
        <v>3193939.51</v>
      </c>
      <c r="D643" s="216">
        <v>2012899.37</v>
      </c>
      <c r="E643" s="216"/>
      <c r="F643" s="216">
        <v>801.3</v>
      </c>
      <c r="G643" s="216">
        <v>1181040.14</v>
      </c>
      <c r="H643" s="216"/>
      <c r="I643" s="216"/>
      <c r="J643" s="216"/>
      <c r="K643" s="216"/>
      <c r="L643" s="216"/>
      <c r="M643" s="216"/>
      <c r="N643" s="216"/>
      <c r="O643" s="216"/>
      <c r="P643" s="206"/>
    </row>
    <row r="644" spans="1:16" ht="25.5">
      <c r="A644" s="224">
        <v>205</v>
      </c>
      <c r="B644" s="241" t="s">
        <v>332</v>
      </c>
      <c r="C644" s="17">
        <f t="shared" si="29"/>
        <v>3390482.35</v>
      </c>
      <c r="D644" s="216"/>
      <c r="E644" s="216"/>
      <c r="F644" s="216">
        <v>1109.5</v>
      </c>
      <c r="G644" s="17">
        <v>3390482.35</v>
      </c>
      <c r="H644" s="216"/>
      <c r="I644" s="216"/>
      <c r="J644" s="216"/>
      <c r="K644" s="216"/>
      <c r="L644" s="216"/>
      <c r="M644" s="216"/>
      <c r="N644" s="216"/>
      <c r="O644" s="216"/>
      <c r="P644" s="206"/>
    </row>
    <row r="645" spans="1:16" ht="25.5">
      <c r="A645" s="224">
        <v>206</v>
      </c>
      <c r="B645" s="241" t="s">
        <v>242</v>
      </c>
      <c r="C645" s="17">
        <f t="shared" si="29"/>
        <v>3709064.5700000003</v>
      </c>
      <c r="D645" s="216">
        <v>2699471.97</v>
      </c>
      <c r="E645" s="216">
        <v>1009592.6</v>
      </c>
      <c r="F645" s="216"/>
      <c r="G645" s="216"/>
      <c r="H645" s="216"/>
      <c r="I645" s="216"/>
      <c r="J645" s="216"/>
      <c r="K645" s="216"/>
      <c r="L645" s="216"/>
      <c r="M645" s="216"/>
      <c r="N645" s="216"/>
      <c r="O645" s="216"/>
      <c r="P645" s="206"/>
    </row>
    <row r="646" spans="1:16" ht="25.5">
      <c r="A646" s="224">
        <v>207</v>
      </c>
      <c r="B646" s="241" t="s">
        <v>243</v>
      </c>
      <c r="C646" s="17">
        <f t="shared" si="29"/>
        <v>1489711.31</v>
      </c>
      <c r="D646" s="216"/>
      <c r="E646" s="216"/>
      <c r="F646" s="216">
        <v>462</v>
      </c>
      <c r="G646" s="17">
        <v>1489711.31</v>
      </c>
      <c r="H646" s="216"/>
      <c r="I646" s="216"/>
      <c r="J646" s="216"/>
      <c r="K646" s="216"/>
      <c r="L646" s="216"/>
      <c r="M646" s="216"/>
      <c r="N646" s="216"/>
      <c r="O646" s="216"/>
      <c r="P646" s="206"/>
    </row>
    <row r="647" spans="1:16" ht="25.5">
      <c r="A647" s="224">
        <v>208</v>
      </c>
      <c r="B647" s="241" t="s">
        <v>244</v>
      </c>
      <c r="C647" s="17">
        <f t="shared" si="29"/>
        <v>2986912.46</v>
      </c>
      <c r="D647" s="216">
        <v>549249.84</v>
      </c>
      <c r="E647" s="216"/>
      <c r="F647" s="216">
        <v>610</v>
      </c>
      <c r="G647" s="216">
        <v>1479460.27</v>
      </c>
      <c r="H647" s="216"/>
      <c r="I647" s="216"/>
      <c r="J647" s="216"/>
      <c r="K647" s="216"/>
      <c r="L647" s="216">
        <v>761</v>
      </c>
      <c r="M647" s="216">
        <v>958202.35</v>
      </c>
      <c r="N647" s="216"/>
      <c r="O647" s="216"/>
      <c r="P647" s="206"/>
    </row>
    <row r="648" spans="1:16" ht="25.5">
      <c r="A648" s="224">
        <v>209</v>
      </c>
      <c r="B648" s="241" t="s">
        <v>1454</v>
      </c>
      <c r="C648" s="17">
        <f t="shared" si="29"/>
        <v>3311931.9</v>
      </c>
      <c r="D648" s="216"/>
      <c r="E648" s="216"/>
      <c r="F648" s="216">
        <v>1117</v>
      </c>
      <c r="G648" s="17">
        <v>3311931.9</v>
      </c>
      <c r="H648" s="216"/>
      <c r="I648" s="216"/>
      <c r="J648" s="216"/>
      <c r="K648" s="216"/>
      <c r="L648" s="216"/>
      <c r="M648" s="216"/>
      <c r="N648" s="216"/>
      <c r="O648" s="216"/>
      <c r="P648" s="206"/>
    </row>
    <row r="649" spans="1:16" ht="25.5">
      <c r="A649" s="224">
        <v>210</v>
      </c>
      <c r="B649" s="241" t="s">
        <v>1455</v>
      </c>
      <c r="C649" s="17">
        <f t="shared" si="29"/>
        <v>1965207.39</v>
      </c>
      <c r="D649" s="216"/>
      <c r="E649" s="216"/>
      <c r="F649" s="216">
        <v>705.3</v>
      </c>
      <c r="G649" s="17">
        <v>1965207.39</v>
      </c>
      <c r="H649" s="216"/>
      <c r="I649" s="216"/>
      <c r="J649" s="216"/>
      <c r="K649" s="216"/>
      <c r="L649" s="216"/>
      <c r="M649" s="216"/>
      <c r="N649" s="216"/>
      <c r="O649" s="216"/>
      <c r="P649" s="206"/>
    </row>
    <row r="650" spans="1:16" ht="25.5">
      <c r="A650" s="224">
        <v>211</v>
      </c>
      <c r="B650" s="241" t="s">
        <v>821</v>
      </c>
      <c r="C650" s="17">
        <f t="shared" si="29"/>
        <v>2882163.7800000003</v>
      </c>
      <c r="D650" s="216">
        <v>2576293.14</v>
      </c>
      <c r="E650" s="216">
        <v>305870.64</v>
      </c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06"/>
    </row>
    <row r="651" spans="1:16" ht="25.5">
      <c r="A651" s="224">
        <v>212</v>
      </c>
      <c r="B651" s="241" t="s">
        <v>822</v>
      </c>
      <c r="C651" s="17">
        <f t="shared" si="29"/>
        <v>2334715.42</v>
      </c>
      <c r="D651" s="216">
        <v>2030571.83</v>
      </c>
      <c r="E651" s="216">
        <v>304143.59</v>
      </c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06"/>
    </row>
    <row r="652" spans="1:16" ht="25.5">
      <c r="A652" s="224">
        <v>213</v>
      </c>
      <c r="B652" s="241" t="s">
        <v>760</v>
      </c>
      <c r="C652" s="17">
        <f t="shared" si="29"/>
        <v>2254483.45</v>
      </c>
      <c r="D652" s="216">
        <v>1953840.5</v>
      </c>
      <c r="E652" s="216">
        <v>300642.95</v>
      </c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06"/>
    </row>
    <row r="653" spans="1:16" ht="25.5">
      <c r="A653" s="224">
        <v>214</v>
      </c>
      <c r="B653" s="241" t="s">
        <v>761</v>
      </c>
      <c r="C653" s="17">
        <f t="shared" si="29"/>
        <v>997889.34</v>
      </c>
      <c r="D653" s="17">
        <v>997889.34</v>
      </c>
      <c r="E653" s="216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06"/>
    </row>
    <row r="654" spans="1:16" ht="25.5">
      <c r="A654" s="224">
        <v>215</v>
      </c>
      <c r="B654" s="241" t="s">
        <v>874</v>
      </c>
      <c r="C654" s="17">
        <f t="shared" si="29"/>
        <v>967773.71</v>
      </c>
      <c r="D654" s="17">
        <v>967773.71</v>
      </c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06"/>
    </row>
    <row r="655" spans="1:16" ht="38.25">
      <c r="A655" s="224">
        <v>216</v>
      </c>
      <c r="B655" s="241" t="s">
        <v>762</v>
      </c>
      <c r="C655" s="17">
        <f t="shared" si="29"/>
        <v>1143011.43</v>
      </c>
      <c r="D655" s="216">
        <v>859271.88</v>
      </c>
      <c r="E655" s="216">
        <v>283739.55</v>
      </c>
      <c r="F655" s="216"/>
      <c r="G655" s="216"/>
      <c r="H655" s="216"/>
      <c r="I655" s="216"/>
      <c r="J655" s="216"/>
      <c r="K655" s="216"/>
      <c r="L655" s="216"/>
      <c r="M655" s="216"/>
      <c r="N655" s="216"/>
      <c r="O655" s="216"/>
      <c r="P655" s="206"/>
    </row>
    <row r="656" spans="1:16" ht="38.25">
      <c r="A656" s="224">
        <v>217</v>
      </c>
      <c r="B656" s="241" t="s">
        <v>763</v>
      </c>
      <c r="C656" s="17">
        <f t="shared" si="29"/>
        <v>1183630.07</v>
      </c>
      <c r="D656" s="216">
        <v>917137.5</v>
      </c>
      <c r="E656" s="216">
        <v>266492.57</v>
      </c>
      <c r="F656" s="216"/>
      <c r="G656" s="216"/>
      <c r="H656" s="216"/>
      <c r="I656" s="216"/>
      <c r="J656" s="216"/>
      <c r="K656" s="216"/>
      <c r="L656" s="216"/>
      <c r="M656" s="216"/>
      <c r="N656" s="216"/>
      <c r="O656" s="216"/>
      <c r="P656" s="206"/>
    </row>
    <row r="657" spans="1:16" ht="38.25">
      <c r="A657" s="224">
        <v>218</v>
      </c>
      <c r="B657" s="241" t="s">
        <v>764</v>
      </c>
      <c r="C657" s="17">
        <f t="shared" si="29"/>
        <v>1743874.89</v>
      </c>
      <c r="D657" s="17">
        <v>1743874.89</v>
      </c>
      <c r="E657" s="216"/>
      <c r="F657" s="216"/>
      <c r="G657" s="216"/>
      <c r="H657" s="216"/>
      <c r="I657" s="216"/>
      <c r="J657" s="216"/>
      <c r="K657" s="216"/>
      <c r="L657" s="216"/>
      <c r="M657" s="216"/>
      <c r="N657" s="216"/>
      <c r="O657" s="216"/>
      <c r="P657" s="206"/>
    </row>
    <row r="658" spans="1:16" ht="25.5">
      <c r="A658" s="224">
        <v>219</v>
      </c>
      <c r="B658" s="241" t="s">
        <v>1382</v>
      </c>
      <c r="C658" s="17">
        <f t="shared" si="29"/>
        <v>2475652.2199999997</v>
      </c>
      <c r="D658" s="216">
        <v>2108867.3</v>
      </c>
      <c r="E658" s="216">
        <v>366784.92</v>
      </c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06"/>
    </row>
    <row r="659" spans="1:16" ht="25.5">
      <c r="A659" s="224">
        <v>220</v>
      </c>
      <c r="B659" s="241" t="s">
        <v>1383</v>
      </c>
      <c r="C659" s="17">
        <f t="shared" si="29"/>
        <v>6143516.51</v>
      </c>
      <c r="D659" s="17">
        <v>6143516.51</v>
      </c>
      <c r="E659" s="216">
        <v>0</v>
      </c>
      <c r="F659" s="216"/>
      <c r="G659" s="216"/>
      <c r="H659" s="216"/>
      <c r="I659" s="216"/>
      <c r="J659" s="216"/>
      <c r="K659" s="216"/>
      <c r="L659" s="216"/>
      <c r="M659" s="216"/>
      <c r="N659" s="216"/>
      <c r="O659" s="216"/>
      <c r="P659" s="206"/>
    </row>
    <row r="660" spans="1:16" ht="25.5">
      <c r="A660" s="224">
        <v>221</v>
      </c>
      <c r="B660" s="241" t="s">
        <v>1459</v>
      </c>
      <c r="C660" s="17">
        <f t="shared" si="29"/>
        <v>6432891.08</v>
      </c>
      <c r="D660" s="216">
        <v>5989174.95</v>
      </c>
      <c r="E660" s="216">
        <v>443716.13</v>
      </c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06"/>
    </row>
    <row r="661" spans="1:16" ht="25.5">
      <c r="A661" s="224">
        <v>222</v>
      </c>
      <c r="B661" s="241" t="s">
        <v>1460</v>
      </c>
      <c r="C661" s="17">
        <f t="shared" si="29"/>
        <v>4078117.77</v>
      </c>
      <c r="D661" s="216">
        <v>3675989.08</v>
      </c>
      <c r="E661" s="216">
        <v>402128.69</v>
      </c>
      <c r="F661" s="216"/>
      <c r="G661" s="216"/>
      <c r="H661" s="216"/>
      <c r="I661" s="216"/>
      <c r="J661" s="216"/>
      <c r="K661" s="216"/>
      <c r="L661" s="216"/>
      <c r="M661" s="216"/>
      <c r="N661" s="216"/>
      <c r="O661" s="216"/>
      <c r="P661" s="206"/>
    </row>
    <row r="662" spans="1:16" ht="25.5">
      <c r="A662" s="224">
        <v>223</v>
      </c>
      <c r="B662" s="241" t="s">
        <v>335</v>
      </c>
      <c r="C662" s="17">
        <f t="shared" si="29"/>
        <v>1923728.81</v>
      </c>
      <c r="D662" s="17">
        <v>1923728.81</v>
      </c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06"/>
    </row>
    <row r="663" spans="1:16" ht="25.5">
      <c r="A663" s="224">
        <v>224</v>
      </c>
      <c r="B663" s="241" t="s">
        <v>1384</v>
      </c>
      <c r="C663" s="17">
        <f t="shared" si="29"/>
        <v>4758331.21</v>
      </c>
      <c r="D663" s="216">
        <v>4438148.95</v>
      </c>
      <c r="E663" s="216">
        <v>320182.26</v>
      </c>
      <c r="F663" s="216"/>
      <c r="G663" s="216"/>
      <c r="H663" s="216"/>
      <c r="I663" s="216"/>
      <c r="J663" s="216"/>
      <c r="K663" s="216"/>
      <c r="L663" s="216"/>
      <c r="M663" s="216"/>
      <c r="N663" s="216"/>
      <c r="O663" s="216"/>
      <c r="P663" s="206"/>
    </row>
    <row r="664" spans="1:16" ht="25.5">
      <c r="A664" s="224">
        <v>225</v>
      </c>
      <c r="B664" s="241" t="s">
        <v>1330</v>
      </c>
      <c r="C664" s="17">
        <f t="shared" si="29"/>
        <v>2676039.7</v>
      </c>
      <c r="D664" s="216">
        <v>984491.34</v>
      </c>
      <c r="E664" s="216">
        <v>385985.29</v>
      </c>
      <c r="F664" s="216">
        <v>507</v>
      </c>
      <c r="G664" s="216">
        <v>1305563.07</v>
      </c>
      <c r="H664" s="216"/>
      <c r="I664" s="216"/>
      <c r="J664" s="216"/>
      <c r="K664" s="216"/>
      <c r="L664" s="216"/>
      <c r="M664" s="216"/>
      <c r="N664" s="216"/>
      <c r="O664" s="216"/>
      <c r="P664" s="206"/>
    </row>
    <row r="665" spans="1:16" ht="25.5">
      <c r="A665" s="224">
        <v>226</v>
      </c>
      <c r="B665" s="241" t="s">
        <v>337</v>
      </c>
      <c r="C665" s="17">
        <f t="shared" si="29"/>
        <v>555164.12</v>
      </c>
      <c r="D665" s="17">
        <v>555164.12</v>
      </c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06"/>
    </row>
    <row r="666" spans="1:16" ht="25.5">
      <c r="A666" s="224">
        <v>227</v>
      </c>
      <c r="B666" s="241" t="s">
        <v>1622</v>
      </c>
      <c r="C666" s="17">
        <f t="shared" si="29"/>
        <v>3731596.35</v>
      </c>
      <c r="D666" s="17">
        <v>3731596.35</v>
      </c>
      <c r="E666" s="216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06"/>
    </row>
    <row r="667" spans="1:16" ht="25.5">
      <c r="A667" s="224">
        <v>228</v>
      </c>
      <c r="B667" s="241" t="s">
        <v>1623</v>
      </c>
      <c r="C667" s="17">
        <f t="shared" si="29"/>
        <v>8088100.7299999995</v>
      </c>
      <c r="D667" s="216">
        <v>7251944.34</v>
      </c>
      <c r="E667" s="216">
        <v>836156.39</v>
      </c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06"/>
    </row>
    <row r="668" spans="1:16" ht="25.5">
      <c r="A668" s="224">
        <v>229</v>
      </c>
      <c r="B668" s="241" t="s">
        <v>340</v>
      </c>
      <c r="C668" s="17">
        <f t="shared" si="29"/>
        <v>2944858.52</v>
      </c>
      <c r="D668" s="17">
        <v>2944858.52</v>
      </c>
      <c r="E668" s="216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06"/>
    </row>
    <row r="669" spans="1:16" ht="25.5">
      <c r="A669" s="224">
        <v>230</v>
      </c>
      <c r="B669" s="241" t="s">
        <v>1462</v>
      </c>
      <c r="C669" s="17">
        <f t="shared" si="29"/>
        <v>8449564.79</v>
      </c>
      <c r="D669" s="216">
        <v>6266541.1</v>
      </c>
      <c r="E669" s="216">
        <v>894131.68</v>
      </c>
      <c r="F669" s="216">
        <v>908.4</v>
      </c>
      <c r="G669" s="216">
        <v>1288892.01</v>
      </c>
      <c r="H669" s="216"/>
      <c r="I669" s="216"/>
      <c r="J669" s="216"/>
      <c r="K669" s="216"/>
      <c r="L669" s="216"/>
      <c r="M669" s="216"/>
      <c r="N669" s="216"/>
      <c r="O669" s="216"/>
      <c r="P669" s="206"/>
    </row>
    <row r="670" spans="1:16" ht="25.5">
      <c r="A670" s="224">
        <v>231</v>
      </c>
      <c r="B670" s="241" t="s">
        <v>341</v>
      </c>
      <c r="C670" s="17">
        <f t="shared" si="29"/>
        <v>4784175.48</v>
      </c>
      <c r="D670" s="17">
        <v>4784175.48</v>
      </c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06"/>
    </row>
    <row r="671" spans="1:16" ht="25.5">
      <c r="A671" s="224">
        <v>232</v>
      </c>
      <c r="B671" s="241" t="s">
        <v>1385</v>
      </c>
      <c r="C671" s="17">
        <f t="shared" si="29"/>
        <v>3958966.2</v>
      </c>
      <c r="D671" s="216">
        <v>1495038.26</v>
      </c>
      <c r="E671" s="216"/>
      <c r="F671" s="216">
        <v>983</v>
      </c>
      <c r="G671" s="216">
        <v>2463927.94</v>
      </c>
      <c r="H671" s="216"/>
      <c r="I671" s="216"/>
      <c r="J671" s="216"/>
      <c r="K671" s="216"/>
      <c r="L671" s="216"/>
      <c r="M671" s="216"/>
      <c r="N671" s="216"/>
      <c r="O671" s="216"/>
      <c r="P671" s="206"/>
    </row>
    <row r="672" spans="1:16" ht="25.5">
      <c r="A672" s="224">
        <v>233</v>
      </c>
      <c r="B672" s="241" t="s">
        <v>1331</v>
      </c>
      <c r="C672" s="17">
        <f t="shared" si="29"/>
        <v>7238188.58</v>
      </c>
      <c r="D672" s="216">
        <v>3967362.51</v>
      </c>
      <c r="E672" s="216">
        <v>664111.82</v>
      </c>
      <c r="F672" s="216"/>
      <c r="G672" s="216"/>
      <c r="H672" s="216"/>
      <c r="I672" s="216"/>
      <c r="J672" s="216"/>
      <c r="K672" s="216"/>
      <c r="L672" s="216">
        <v>1263.4</v>
      </c>
      <c r="M672" s="216">
        <v>2606714.25</v>
      </c>
      <c r="N672" s="216"/>
      <c r="O672" s="216"/>
      <c r="P672" s="206"/>
    </row>
    <row r="673" spans="1:16" ht="25.5">
      <c r="A673" s="224">
        <v>234</v>
      </c>
      <c r="B673" s="241" t="s">
        <v>1332</v>
      </c>
      <c r="C673" s="17">
        <f t="shared" si="29"/>
        <v>5864027.4799999995</v>
      </c>
      <c r="D673" s="216">
        <v>4908148.26</v>
      </c>
      <c r="E673" s="216">
        <v>955879.22</v>
      </c>
      <c r="F673" s="216"/>
      <c r="G673" s="216"/>
      <c r="H673" s="216"/>
      <c r="I673" s="216"/>
      <c r="J673" s="216"/>
      <c r="K673" s="216"/>
      <c r="L673" s="216"/>
      <c r="M673" s="216"/>
      <c r="N673" s="216"/>
      <c r="O673" s="216"/>
      <c r="P673" s="206"/>
    </row>
    <row r="674" spans="1:16" ht="25.5">
      <c r="A674" s="224">
        <v>235</v>
      </c>
      <c r="B674" s="241" t="s">
        <v>1333</v>
      </c>
      <c r="C674" s="17">
        <f t="shared" si="29"/>
        <v>2778844.32</v>
      </c>
      <c r="D674" s="17">
        <v>2778844.32</v>
      </c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06"/>
    </row>
    <row r="675" spans="1:16" ht="25.5">
      <c r="A675" s="224">
        <v>236</v>
      </c>
      <c r="B675" s="241" t="s">
        <v>1386</v>
      </c>
      <c r="C675" s="17">
        <f t="shared" si="29"/>
        <v>13416968.080000002</v>
      </c>
      <c r="D675" s="216">
        <v>10741150.47</v>
      </c>
      <c r="E675" s="216">
        <v>675175.82</v>
      </c>
      <c r="F675" s="216">
        <v>1211.4</v>
      </c>
      <c r="G675" s="216">
        <v>2000641.79</v>
      </c>
      <c r="H675" s="216"/>
      <c r="I675" s="216"/>
      <c r="J675" s="216"/>
      <c r="K675" s="216"/>
      <c r="L675" s="216"/>
      <c r="M675" s="216"/>
      <c r="N675" s="216"/>
      <c r="O675" s="216"/>
      <c r="P675" s="206"/>
    </row>
    <row r="676" spans="1:16" ht="25.5">
      <c r="A676" s="224">
        <v>237</v>
      </c>
      <c r="B676" s="241" t="s">
        <v>1464</v>
      </c>
      <c r="C676" s="17">
        <f t="shared" si="29"/>
        <v>5162013.76</v>
      </c>
      <c r="D676" s="216">
        <v>4857475.89</v>
      </c>
      <c r="E676" s="216">
        <v>304537.87</v>
      </c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06"/>
    </row>
    <row r="677" spans="1:16" ht="25.5">
      <c r="A677" s="224">
        <v>238</v>
      </c>
      <c r="B677" s="241" t="s">
        <v>1465</v>
      </c>
      <c r="C677" s="17">
        <f t="shared" si="29"/>
        <v>2989554.75</v>
      </c>
      <c r="D677" s="17">
        <v>2989554.75</v>
      </c>
      <c r="E677" s="216">
        <v>0</v>
      </c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06"/>
    </row>
    <row r="678" spans="1:16" ht="25.5">
      <c r="A678" s="224">
        <v>239</v>
      </c>
      <c r="B678" s="241" t="s">
        <v>1424</v>
      </c>
      <c r="C678" s="17">
        <f t="shared" si="29"/>
        <v>1670622.82</v>
      </c>
      <c r="D678" s="216">
        <v>918099.21</v>
      </c>
      <c r="E678" s="216">
        <v>276687.87</v>
      </c>
      <c r="F678" s="216"/>
      <c r="G678" s="216"/>
      <c r="H678" s="216"/>
      <c r="I678" s="216"/>
      <c r="J678" s="216">
        <v>1681</v>
      </c>
      <c r="K678" s="216">
        <v>475835.74</v>
      </c>
      <c r="L678" s="216"/>
      <c r="M678" s="216"/>
      <c r="N678" s="216"/>
      <c r="O678" s="216"/>
      <c r="P678" s="206"/>
    </row>
    <row r="679" spans="1:16" ht="25.5">
      <c r="A679" s="224">
        <v>240</v>
      </c>
      <c r="B679" s="241" t="s">
        <v>891</v>
      </c>
      <c r="C679" s="17">
        <f aca="true" t="shared" si="30" ref="C679:C730">D679+E679+G679+I679+K679+M679+O679</f>
        <v>21317220</v>
      </c>
      <c r="D679" s="216"/>
      <c r="E679" s="216"/>
      <c r="F679" s="216"/>
      <c r="G679" s="216"/>
      <c r="H679" s="216"/>
      <c r="I679" s="216"/>
      <c r="J679" s="216"/>
      <c r="K679" s="216"/>
      <c r="L679" s="216">
        <v>5312.5</v>
      </c>
      <c r="M679" s="17">
        <v>21317220</v>
      </c>
      <c r="N679" s="216"/>
      <c r="O679" s="216"/>
      <c r="P679" s="206"/>
    </row>
    <row r="680" spans="1:16" ht="25.5">
      <c r="A680" s="224">
        <v>241</v>
      </c>
      <c r="B680" s="241" t="s">
        <v>892</v>
      </c>
      <c r="C680" s="17">
        <f t="shared" si="30"/>
        <v>4669800.68</v>
      </c>
      <c r="D680" s="216"/>
      <c r="E680" s="216"/>
      <c r="F680" s="216"/>
      <c r="G680" s="216"/>
      <c r="H680" s="216"/>
      <c r="I680" s="216"/>
      <c r="J680" s="216"/>
      <c r="K680" s="216"/>
      <c r="L680" s="216">
        <v>3437.5</v>
      </c>
      <c r="M680" s="17">
        <v>4669800.68</v>
      </c>
      <c r="N680" s="216"/>
      <c r="O680" s="216"/>
      <c r="P680" s="206"/>
    </row>
    <row r="681" spans="1:16" ht="25.5">
      <c r="A681" s="224">
        <v>242</v>
      </c>
      <c r="B681" s="241" t="s">
        <v>1475</v>
      </c>
      <c r="C681" s="17">
        <f t="shared" si="30"/>
        <v>2392977.72</v>
      </c>
      <c r="D681" s="216"/>
      <c r="E681" s="216"/>
      <c r="F681" s="216"/>
      <c r="G681" s="216"/>
      <c r="H681" s="216"/>
      <c r="I681" s="216"/>
      <c r="J681" s="216"/>
      <c r="K681" s="216"/>
      <c r="L681" s="216">
        <v>1750</v>
      </c>
      <c r="M681" s="17">
        <v>2392977.72</v>
      </c>
      <c r="N681" s="216"/>
      <c r="O681" s="216"/>
      <c r="P681" s="206"/>
    </row>
    <row r="682" spans="1:16" ht="25.5">
      <c r="A682" s="224">
        <v>243</v>
      </c>
      <c r="B682" s="241" t="s">
        <v>815</v>
      </c>
      <c r="C682" s="17">
        <f t="shared" si="30"/>
        <v>3376052.58</v>
      </c>
      <c r="D682" s="216"/>
      <c r="E682" s="216"/>
      <c r="F682" s="216"/>
      <c r="G682" s="216"/>
      <c r="H682" s="216"/>
      <c r="I682" s="216"/>
      <c r="J682" s="216"/>
      <c r="K682" s="216"/>
      <c r="L682" s="216">
        <v>2812.5</v>
      </c>
      <c r="M682" s="17">
        <v>3376052.58</v>
      </c>
      <c r="N682" s="216"/>
      <c r="O682" s="216"/>
      <c r="P682" s="206"/>
    </row>
    <row r="683" spans="1:16" ht="25.5">
      <c r="A683" s="224">
        <v>244</v>
      </c>
      <c r="B683" s="241" t="s">
        <v>893</v>
      </c>
      <c r="C683" s="17">
        <f t="shared" si="30"/>
        <v>1926043.06</v>
      </c>
      <c r="D683" s="216"/>
      <c r="E683" s="216"/>
      <c r="F683" s="216"/>
      <c r="G683" s="216"/>
      <c r="H683" s="216"/>
      <c r="I683" s="216"/>
      <c r="J683" s="216"/>
      <c r="K683" s="216"/>
      <c r="L683" s="216">
        <v>2019.25</v>
      </c>
      <c r="M683" s="17">
        <v>1926043.06</v>
      </c>
      <c r="N683" s="216"/>
      <c r="O683" s="216"/>
      <c r="P683" s="206"/>
    </row>
    <row r="684" spans="1:16" ht="25.5">
      <c r="A684" s="224">
        <v>245</v>
      </c>
      <c r="B684" s="241" t="s">
        <v>925</v>
      </c>
      <c r="C684" s="17">
        <f t="shared" si="30"/>
        <v>7612603.36</v>
      </c>
      <c r="D684" s="216"/>
      <c r="E684" s="216"/>
      <c r="F684" s="216"/>
      <c r="G684" s="216"/>
      <c r="H684" s="216"/>
      <c r="I684" s="216"/>
      <c r="J684" s="216"/>
      <c r="K684" s="216"/>
      <c r="L684" s="216">
        <v>5625</v>
      </c>
      <c r="M684" s="294">
        <v>7612603.36</v>
      </c>
      <c r="N684" s="216"/>
      <c r="O684" s="216"/>
      <c r="P684" s="206"/>
    </row>
    <row r="685" spans="1:16" ht="25.5">
      <c r="A685" s="224">
        <v>246</v>
      </c>
      <c r="B685" s="241" t="s">
        <v>894</v>
      </c>
      <c r="C685" s="17">
        <f t="shared" si="30"/>
        <v>5761907.95</v>
      </c>
      <c r="D685" s="216"/>
      <c r="E685" s="216"/>
      <c r="F685" s="216"/>
      <c r="G685" s="216"/>
      <c r="H685" s="216"/>
      <c r="I685" s="216"/>
      <c r="J685" s="216"/>
      <c r="K685" s="216"/>
      <c r="L685" s="216">
        <v>2812.5</v>
      </c>
      <c r="M685" s="17">
        <v>5761907.95</v>
      </c>
      <c r="N685" s="216"/>
      <c r="O685" s="216"/>
      <c r="P685" s="206"/>
    </row>
    <row r="686" spans="1:16" ht="25.5">
      <c r="A686" s="224">
        <v>247</v>
      </c>
      <c r="B686" s="241" t="s">
        <v>686</v>
      </c>
      <c r="C686" s="17">
        <f t="shared" si="30"/>
        <v>5048225.78</v>
      </c>
      <c r="D686" s="216"/>
      <c r="E686" s="216"/>
      <c r="F686" s="216"/>
      <c r="G686" s="216"/>
      <c r="H686" s="216"/>
      <c r="I686" s="216"/>
      <c r="J686" s="216"/>
      <c r="K686" s="216"/>
      <c r="L686" s="216">
        <v>3958.9</v>
      </c>
      <c r="M686" s="17">
        <v>5048225.78</v>
      </c>
      <c r="N686" s="216"/>
      <c r="O686" s="216"/>
      <c r="P686" s="206"/>
    </row>
    <row r="687" spans="1:16" ht="25.5">
      <c r="A687" s="224">
        <v>248</v>
      </c>
      <c r="B687" s="241" t="s">
        <v>965</v>
      </c>
      <c r="C687" s="17">
        <f t="shared" si="30"/>
        <v>3054165.98</v>
      </c>
      <c r="D687" s="216"/>
      <c r="E687" s="216"/>
      <c r="F687" s="216"/>
      <c r="G687" s="216"/>
      <c r="H687" s="216"/>
      <c r="I687" s="216"/>
      <c r="J687" s="216"/>
      <c r="K687" s="216"/>
      <c r="L687" s="216">
        <v>2274.38</v>
      </c>
      <c r="M687" s="17">
        <v>3054165.98</v>
      </c>
      <c r="N687" s="216"/>
      <c r="O687" s="216"/>
      <c r="P687" s="206"/>
    </row>
    <row r="688" spans="1:16" ht="25.5">
      <c r="A688" s="224">
        <v>249</v>
      </c>
      <c r="B688" s="241" t="s">
        <v>895</v>
      </c>
      <c r="C688" s="17">
        <f t="shared" si="30"/>
        <v>1474177.81</v>
      </c>
      <c r="D688" s="216"/>
      <c r="E688" s="216"/>
      <c r="F688" s="216"/>
      <c r="G688" s="216"/>
      <c r="H688" s="216"/>
      <c r="I688" s="216"/>
      <c r="J688" s="216"/>
      <c r="K688" s="216"/>
      <c r="L688" s="216">
        <v>1250</v>
      </c>
      <c r="M688" s="17">
        <v>1474177.81</v>
      </c>
      <c r="N688" s="216"/>
      <c r="O688" s="216"/>
      <c r="P688" s="206"/>
    </row>
    <row r="689" spans="1:16" ht="25.5">
      <c r="A689" s="224">
        <v>250</v>
      </c>
      <c r="B689" s="241" t="s">
        <v>896</v>
      </c>
      <c r="C689" s="17">
        <f t="shared" si="30"/>
        <v>3420462.8</v>
      </c>
      <c r="D689" s="242"/>
      <c r="E689" s="242"/>
      <c r="F689" s="242"/>
      <c r="G689" s="242"/>
      <c r="H689" s="242"/>
      <c r="I689" s="242"/>
      <c r="J689" s="242"/>
      <c r="K689" s="242"/>
      <c r="L689" s="242">
        <v>2524.3</v>
      </c>
      <c r="M689" s="17">
        <v>3420462.8</v>
      </c>
      <c r="N689" s="216"/>
      <c r="O689" s="216"/>
      <c r="P689" s="206"/>
    </row>
    <row r="690" spans="1:16" ht="25.5">
      <c r="A690" s="224">
        <v>251</v>
      </c>
      <c r="B690" s="241" t="s">
        <v>818</v>
      </c>
      <c r="C690" s="17">
        <f t="shared" si="30"/>
        <v>1783572.06</v>
      </c>
      <c r="D690" s="242"/>
      <c r="E690" s="242"/>
      <c r="F690" s="242"/>
      <c r="G690" s="242"/>
      <c r="H690" s="242"/>
      <c r="I690" s="242"/>
      <c r="J690" s="242"/>
      <c r="K690" s="242"/>
      <c r="L690" s="242">
        <v>1723.2</v>
      </c>
      <c r="M690" s="17">
        <v>1783572.06</v>
      </c>
      <c r="N690" s="216"/>
      <c r="O690" s="216"/>
      <c r="P690" s="206"/>
    </row>
    <row r="691" spans="1:16" ht="25.5">
      <c r="A691" s="224">
        <v>252</v>
      </c>
      <c r="B691" s="241" t="s">
        <v>897</v>
      </c>
      <c r="C691" s="17">
        <f t="shared" si="30"/>
        <v>3009351.42</v>
      </c>
      <c r="D691" s="242"/>
      <c r="E691" s="242"/>
      <c r="F691" s="242"/>
      <c r="G691" s="242"/>
      <c r="H691" s="242"/>
      <c r="I691" s="242"/>
      <c r="J691" s="242"/>
      <c r="K691" s="242"/>
      <c r="L691" s="242">
        <v>2534.25</v>
      </c>
      <c r="M691" s="17">
        <v>3009351.42</v>
      </c>
      <c r="N691" s="216"/>
      <c r="O691" s="216"/>
      <c r="P691" s="206"/>
    </row>
    <row r="692" spans="1:16" ht="25.5">
      <c r="A692" s="224">
        <v>253</v>
      </c>
      <c r="B692" s="241" t="s">
        <v>85</v>
      </c>
      <c r="C692" s="17">
        <f t="shared" si="30"/>
        <v>2547978.1</v>
      </c>
      <c r="D692" s="216"/>
      <c r="E692" s="216"/>
      <c r="F692" s="216"/>
      <c r="G692" s="216"/>
      <c r="H692" s="216"/>
      <c r="I692" s="216"/>
      <c r="J692" s="216"/>
      <c r="K692" s="216"/>
      <c r="L692" s="216">
        <v>2187.5</v>
      </c>
      <c r="M692" s="17">
        <v>2547978.1</v>
      </c>
      <c r="N692" s="216"/>
      <c r="O692" s="216"/>
      <c r="P692" s="206"/>
    </row>
    <row r="693" spans="1:16" ht="25.5">
      <c r="A693" s="224">
        <v>254</v>
      </c>
      <c r="B693" s="241" t="s">
        <v>86</v>
      </c>
      <c r="C693" s="17">
        <f t="shared" si="30"/>
        <v>1171057.1</v>
      </c>
      <c r="D693" s="216"/>
      <c r="E693" s="216"/>
      <c r="F693" s="216"/>
      <c r="G693" s="216"/>
      <c r="H693" s="216"/>
      <c r="I693" s="216"/>
      <c r="J693" s="216"/>
      <c r="K693" s="216"/>
      <c r="L693" s="216">
        <v>920</v>
      </c>
      <c r="M693" s="17">
        <v>1171057.1</v>
      </c>
      <c r="N693" s="216"/>
      <c r="O693" s="216"/>
      <c r="P693" s="206"/>
    </row>
    <row r="694" spans="1:16" ht="25.5">
      <c r="A694" s="224">
        <v>255</v>
      </c>
      <c r="B694" s="241" t="s">
        <v>87</v>
      </c>
      <c r="C694" s="17">
        <f t="shared" si="30"/>
        <v>1850404.67</v>
      </c>
      <c r="D694" s="216"/>
      <c r="E694" s="216"/>
      <c r="F694" s="216"/>
      <c r="G694" s="216"/>
      <c r="H694" s="216"/>
      <c r="I694" s="216"/>
      <c r="J694" s="216"/>
      <c r="K694" s="216"/>
      <c r="L694" s="216">
        <v>1363.41</v>
      </c>
      <c r="M694" s="17">
        <v>1850404.67</v>
      </c>
      <c r="N694" s="216"/>
      <c r="O694" s="216"/>
      <c r="P694" s="206"/>
    </row>
    <row r="695" spans="1:16" ht="25.5">
      <c r="A695" s="224">
        <v>256</v>
      </c>
      <c r="B695" s="241" t="s">
        <v>88</v>
      </c>
      <c r="C695" s="17">
        <f t="shared" si="30"/>
        <v>5281533.23</v>
      </c>
      <c r="D695" s="216"/>
      <c r="E695" s="216"/>
      <c r="F695" s="216"/>
      <c r="G695" s="216"/>
      <c r="H695" s="216"/>
      <c r="I695" s="216"/>
      <c r="J695" s="216">
        <f>3373.3</f>
        <v>3373.3</v>
      </c>
      <c r="K695" s="216">
        <v>1863747.46</v>
      </c>
      <c r="L695" s="216">
        <v>2536</v>
      </c>
      <c r="M695" s="216">
        <v>3417785.77</v>
      </c>
      <c r="N695" s="216"/>
      <c r="O695" s="216"/>
      <c r="P695" s="206"/>
    </row>
    <row r="696" spans="1:16" ht="29.25" customHeight="1">
      <c r="A696" s="224">
        <v>257</v>
      </c>
      <c r="B696" s="241" t="s">
        <v>89</v>
      </c>
      <c r="C696" s="17">
        <f t="shared" si="30"/>
        <v>10307355.780000001</v>
      </c>
      <c r="D696" s="216"/>
      <c r="E696" s="216"/>
      <c r="F696" s="216">
        <v>1600.5</v>
      </c>
      <c r="G696" s="216">
        <v>5318217.91</v>
      </c>
      <c r="H696" s="216"/>
      <c r="I696" s="216"/>
      <c r="J696" s="216"/>
      <c r="K696" s="216"/>
      <c r="L696" s="216">
        <v>4062.5</v>
      </c>
      <c r="M696" s="216">
        <v>4989137.87</v>
      </c>
      <c r="N696" s="216"/>
      <c r="O696" s="216"/>
      <c r="P696" s="206"/>
    </row>
    <row r="697" spans="1:16" ht="28.5" customHeight="1">
      <c r="A697" s="224">
        <v>258</v>
      </c>
      <c r="B697" s="241" t="s">
        <v>1281</v>
      </c>
      <c r="C697" s="17">
        <f t="shared" si="30"/>
        <v>10220390</v>
      </c>
      <c r="D697" s="216"/>
      <c r="E697" s="216"/>
      <c r="F697" s="216"/>
      <c r="G697" s="216"/>
      <c r="H697" s="216"/>
      <c r="I697" s="216"/>
      <c r="J697" s="216"/>
      <c r="K697" s="216"/>
      <c r="L697" s="216">
        <v>2197.6</v>
      </c>
      <c r="M697" s="17">
        <v>10220390</v>
      </c>
      <c r="N697" s="216"/>
      <c r="O697" s="216"/>
      <c r="P697" s="206"/>
    </row>
    <row r="698" spans="1:16" ht="28.5" customHeight="1">
      <c r="A698" s="224">
        <v>259</v>
      </c>
      <c r="B698" s="241" t="s">
        <v>1282</v>
      </c>
      <c r="C698" s="17">
        <f t="shared" si="30"/>
        <v>2140516.15</v>
      </c>
      <c r="D698" s="216"/>
      <c r="E698" s="216"/>
      <c r="F698" s="216"/>
      <c r="G698" s="216"/>
      <c r="H698" s="216"/>
      <c r="I698" s="216"/>
      <c r="J698" s="216"/>
      <c r="K698" s="216"/>
      <c r="L698" s="216">
        <v>1562.5</v>
      </c>
      <c r="M698" s="17">
        <v>2140516.15</v>
      </c>
      <c r="N698" s="216"/>
      <c r="O698" s="216"/>
      <c r="P698" s="206"/>
    </row>
    <row r="699" spans="1:16" ht="25.5">
      <c r="A699" s="224">
        <v>260</v>
      </c>
      <c r="B699" s="241" t="s">
        <v>1520</v>
      </c>
      <c r="C699" s="17">
        <f t="shared" si="30"/>
        <v>6430503.65</v>
      </c>
      <c r="D699" s="216"/>
      <c r="E699" s="216"/>
      <c r="F699" s="216"/>
      <c r="G699" s="216"/>
      <c r="H699" s="216"/>
      <c r="I699" s="216"/>
      <c r="J699" s="216"/>
      <c r="K699" s="216"/>
      <c r="L699" s="216">
        <v>4687.5</v>
      </c>
      <c r="M699" s="17">
        <v>6430503.65</v>
      </c>
      <c r="N699" s="216"/>
      <c r="O699" s="216"/>
      <c r="P699" s="206"/>
    </row>
    <row r="700" spans="1:16" ht="25.5">
      <c r="A700" s="224">
        <v>261</v>
      </c>
      <c r="B700" s="241" t="s">
        <v>1521</v>
      </c>
      <c r="C700" s="17">
        <f t="shared" si="30"/>
        <v>1395543.82</v>
      </c>
      <c r="D700" s="216"/>
      <c r="E700" s="216"/>
      <c r="F700" s="216"/>
      <c r="G700" s="216"/>
      <c r="H700" s="216"/>
      <c r="I700" s="216"/>
      <c r="J700" s="216"/>
      <c r="K700" s="216"/>
      <c r="L700" s="216">
        <v>1292</v>
      </c>
      <c r="M700" s="17">
        <v>1395543.82</v>
      </c>
      <c r="N700" s="216"/>
      <c r="O700" s="216"/>
      <c r="P700" s="206"/>
    </row>
    <row r="701" spans="1:16" ht="25.5">
      <c r="A701" s="224">
        <v>262</v>
      </c>
      <c r="B701" s="241" t="s">
        <v>1283</v>
      </c>
      <c r="C701" s="17">
        <f t="shared" si="30"/>
        <v>2997534.73</v>
      </c>
      <c r="D701" s="216"/>
      <c r="E701" s="216"/>
      <c r="F701" s="216"/>
      <c r="G701" s="216"/>
      <c r="H701" s="216"/>
      <c r="I701" s="216"/>
      <c r="J701" s="216"/>
      <c r="K701" s="216"/>
      <c r="L701" s="216">
        <v>2250</v>
      </c>
      <c r="M701" s="17">
        <v>2997534.73</v>
      </c>
      <c r="N701" s="216"/>
      <c r="O701" s="216"/>
      <c r="P701" s="206"/>
    </row>
    <row r="702" spans="1:16" ht="25.5">
      <c r="A702" s="224">
        <v>263</v>
      </c>
      <c r="B702" s="241" t="s">
        <v>1284</v>
      </c>
      <c r="C702" s="17">
        <f t="shared" si="30"/>
        <v>15346210</v>
      </c>
      <c r="D702" s="216"/>
      <c r="E702" s="216"/>
      <c r="F702" s="216"/>
      <c r="G702" s="216"/>
      <c r="H702" s="216"/>
      <c r="I702" s="216"/>
      <c r="J702" s="216"/>
      <c r="K702" s="216"/>
      <c r="L702" s="216">
        <v>3300</v>
      </c>
      <c r="M702" s="17">
        <v>15346210</v>
      </c>
      <c r="N702" s="216"/>
      <c r="O702" s="216"/>
      <c r="P702" s="206"/>
    </row>
    <row r="703" spans="1:16" ht="25.5">
      <c r="A703" s="224">
        <v>264</v>
      </c>
      <c r="B703" s="241" t="s">
        <v>1285</v>
      </c>
      <c r="C703" s="17">
        <f t="shared" si="30"/>
        <v>17514503.57</v>
      </c>
      <c r="D703" s="216"/>
      <c r="E703" s="216"/>
      <c r="F703" s="216"/>
      <c r="G703" s="216"/>
      <c r="H703" s="216"/>
      <c r="I703" s="216"/>
      <c r="J703" s="216"/>
      <c r="K703" s="216"/>
      <c r="L703" s="216">
        <v>3921.7</v>
      </c>
      <c r="M703" s="17">
        <v>17514503.57</v>
      </c>
      <c r="N703" s="216"/>
      <c r="O703" s="216"/>
      <c r="P703" s="206"/>
    </row>
    <row r="704" spans="1:16" ht="25.5">
      <c r="A704" s="224">
        <v>265</v>
      </c>
      <c r="B704" s="241" t="s">
        <v>1286</v>
      </c>
      <c r="C704" s="17">
        <f t="shared" si="30"/>
        <v>1810364.73</v>
      </c>
      <c r="D704" s="216"/>
      <c r="E704" s="216"/>
      <c r="F704" s="216"/>
      <c r="G704" s="216"/>
      <c r="H704" s="216"/>
      <c r="I704" s="216"/>
      <c r="J704" s="216"/>
      <c r="K704" s="216"/>
      <c r="L704" s="216">
        <v>1388</v>
      </c>
      <c r="M704" s="17">
        <v>1810364.73</v>
      </c>
      <c r="N704" s="216"/>
      <c r="O704" s="216"/>
      <c r="P704" s="206"/>
    </row>
    <row r="705" spans="1:16" ht="25.5">
      <c r="A705" s="224">
        <v>266</v>
      </c>
      <c r="B705" s="241" t="s">
        <v>1287</v>
      </c>
      <c r="C705" s="17">
        <f t="shared" si="30"/>
        <v>13715615.43</v>
      </c>
      <c r="D705" s="216"/>
      <c r="E705" s="216"/>
      <c r="F705" s="216"/>
      <c r="G705" s="216"/>
      <c r="H705" s="216"/>
      <c r="I705" s="216"/>
      <c r="J705" s="216"/>
      <c r="K705" s="216"/>
      <c r="L705" s="216">
        <v>2943.93</v>
      </c>
      <c r="M705" s="17">
        <v>13715615.43</v>
      </c>
      <c r="N705" s="216"/>
      <c r="O705" s="216"/>
      <c r="P705" s="206"/>
    </row>
    <row r="706" spans="1:16" ht="25.5">
      <c r="A706" s="224">
        <v>267</v>
      </c>
      <c r="B706" s="241" t="s">
        <v>1288</v>
      </c>
      <c r="C706" s="17">
        <f t="shared" si="30"/>
        <v>8794880</v>
      </c>
      <c r="D706" s="216"/>
      <c r="E706" s="216"/>
      <c r="F706" s="216"/>
      <c r="G706" s="216"/>
      <c r="H706" s="216"/>
      <c r="I706" s="216"/>
      <c r="J706" s="216"/>
      <c r="K706" s="216"/>
      <c r="L706" s="216">
        <v>1894.83</v>
      </c>
      <c r="M706" s="17">
        <v>8794880</v>
      </c>
      <c r="N706" s="216"/>
      <c r="O706" s="216"/>
      <c r="P706" s="206"/>
    </row>
    <row r="707" spans="1:16" ht="25.5">
      <c r="A707" s="224">
        <v>268</v>
      </c>
      <c r="B707" s="241" t="s">
        <v>1289</v>
      </c>
      <c r="C707" s="17">
        <f t="shared" si="30"/>
        <v>2144943.39</v>
      </c>
      <c r="D707" s="216"/>
      <c r="E707" s="216"/>
      <c r="F707" s="216"/>
      <c r="G707" s="216"/>
      <c r="H707" s="216"/>
      <c r="I707" s="216"/>
      <c r="J707" s="216"/>
      <c r="K707" s="216"/>
      <c r="L707" s="216">
        <v>1562.5</v>
      </c>
      <c r="M707" s="17">
        <v>2144943.39</v>
      </c>
      <c r="N707" s="216"/>
      <c r="O707" s="216"/>
      <c r="P707" s="206"/>
    </row>
    <row r="708" spans="1:16" ht="25.5">
      <c r="A708" s="224">
        <v>269</v>
      </c>
      <c r="B708" s="241" t="s">
        <v>1290</v>
      </c>
      <c r="C708" s="17">
        <f t="shared" si="30"/>
        <v>1979126.81</v>
      </c>
      <c r="D708" s="216"/>
      <c r="E708" s="216"/>
      <c r="F708" s="216"/>
      <c r="G708" s="216"/>
      <c r="H708" s="216"/>
      <c r="I708" s="216"/>
      <c r="J708" s="216"/>
      <c r="K708" s="216"/>
      <c r="L708" s="216">
        <v>1687.5</v>
      </c>
      <c r="M708" s="17">
        <v>1979126.81</v>
      </c>
      <c r="N708" s="216"/>
      <c r="O708" s="216"/>
      <c r="P708" s="206"/>
    </row>
    <row r="709" spans="1:16" ht="25.5">
      <c r="A709" s="224">
        <v>270</v>
      </c>
      <c r="B709" s="241" t="s">
        <v>1291</v>
      </c>
      <c r="C709" s="17">
        <f t="shared" si="30"/>
        <v>1668399.55</v>
      </c>
      <c r="D709" s="216"/>
      <c r="E709" s="216"/>
      <c r="F709" s="216"/>
      <c r="G709" s="216"/>
      <c r="H709" s="216"/>
      <c r="I709" s="216"/>
      <c r="J709" s="216"/>
      <c r="K709" s="216"/>
      <c r="L709" s="216">
        <v>1687.5</v>
      </c>
      <c r="M709" s="17">
        <v>1668399.55</v>
      </c>
      <c r="N709" s="216"/>
      <c r="O709" s="216"/>
      <c r="P709" s="206"/>
    </row>
    <row r="710" spans="1:16" ht="25.5">
      <c r="A710" s="224">
        <v>271</v>
      </c>
      <c r="B710" s="241" t="s">
        <v>1292</v>
      </c>
      <c r="C710" s="17">
        <f t="shared" si="30"/>
        <v>23413610.2</v>
      </c>
      <c r="D710" s="216"/>
      <c r="E710" s="216"/>
      <c r="F710" s="216"/>
      <c r="G710" s="216"/>
      <c r="H710" s="216"/>
      <c r="I710" s="216"/>
      <c r="J710" s="216"/>
      <c r="K710" s="216"/>
      <c r="L710" s="216">
        <v>5132.7</v>
      </c>
      <c r="M710" s="17">
        <v>23413610.2</v>
      </c>
      <c r="N710" s="216"/>
      <c r="O710" s="216"/>
      <c r="P710" s="206"/>
    </row>
    <row r="711" spans="1:16" ht="25.5">
      <c r="A711" s="224">
        <v>272</v>
      </c>
      <c r="B711" s="241" t="s">
        <v>407</v>
      </c>
      <c r="C711" s="17">
        <f t="shared" si="30"/>
        <v>4083834.21</v>
      </c>
      <c r="D711" s="216"/>
      <c r="E711" s="216"/>
      <c r="F711" s="216">
        <v>600</v>
      </c>
      <c r="G711" s="216">
        <v>1977935.56</v>
      </c>
      <c r="H711" s="216"/>
      <c r="I711" s="216"/>
      <c r="J711" s="216"/>
      <c r="K711" s="216"/>
      <c r="L711" s="216">
        <v>1540</v>
      </c>
      <c r="M711" s="216">
        <v>2105898.65</v>
      </c>
      <c r="N711" s="216"/>
      <c r="O711" s="216"/>
      <c r="P711" s="206"/>
    </row>
    <row r="712" spans="1:16" ht="25.5">
      <c r="A712" s="224">
        <v>273</v>
      </c>
      <c r="B712" s="241" t="s">
        <v>55</v>
      </c>
      <c r="C712" s="17">
        <f t="shared" si="30"/>
        <v>7193583</v>
      </c>
      <c r="D712" s="216"/>
      <c r="E712" s="216"/>
      <c r="F712" s="216"/>
      <c r="G712" s="216"/>
      <c r="H712" s="216"/>
      <c r="I712" s="216"/>
      <c r="J712" s="216"/>
      <c r="K712" s="216"/>
      <c r="L712" s="216">
        <v>5250</v>
      </c>
      <c r="M712" s="17">
        <v>7193583</v>
      </c>
      <c r="N712" s="216"/>
      <c r="O712" s="216"/>
      <c r="P712" s="206"/>
    </row>
    <row r="713" spans="1:16" ht="25.5">
      <c r="A713" s="224">
        <v>274</v>
      </c>
      <c r="B713" s="241" t="s">
        <v>19</v>
      </c>
      <c r="C713" s="17">
        <f t="shared" si="30"/>
        <v>13214237.8</v>
      </c>
      <c r="D713" s="216"/>
      <c r="E713" s="216"/>
      <c r="F713" s="216"/>
      <c r="G713" s="216"/>
      <c r="H713" s="216"/>
      <c r="I713" s="216"/>
      <c r="J713" s="216"/>
      <c r="K713" s="216"/>
      <c r="L713" s="216">
        <v>2886</v>
      </c>
      <c r="M713" s="17">
        <v>13214237.8</v>
      </c>
      <c r="N713" s="216"/>
      <c r="O713" s="216"/>
      <c r="P713" s="206"/>
    </row>
    <row r="714" spans="1:16" ht="25.5">
      <c r="A714" s="224">
        <v>275</v>
      </c>
      <c r="B714" s="241" t="s">
        <v>898</v>
      </c>
      <c r="C714" s="17">
        <f t="shared" si="30"/>
        <v>3834222.6</v>
      </c>
      <c r="D714" s="216"/>
      <c r="E714" s="216"/>
      <c r="F714" s="216"/>
      <c r="G714" s="216"/>
      <c r="H714" s="216"/>
      <c r="I714" s="216"/>
      <c r="J714" s="216"/>
      <c r="K714" s="216"/>
      <c r="L714" s="216">
        <v>2812.5</v>
      </c>
      <c r="M714" s="17">
        <v>3834222.6</v>
      </c>
      <c r="N714" s="216"/>
      <c r="O714" s="216"/>
      <c r="P714" s="206"/>
    </row>
    <row r="715" spans="1:16" ht="25.5">
      <c r="A715" s="224">
        <v>276</v>
      </c>
      <c r="B715" s="241" t="s">
        <v>899</v>
      </c>
      <c r="C715" s="17">
        <f t="shared" si="30"/>
        <v>3693006.72</v>
      </c>
      <c r="D715" s="216"/>
      <c r="E715" s="216"/>
      <c r="F715" s="216"/>
      <c r="G715" s="216"/>
      <c r="H715" s="216"/>
      <c r="I715" s="216"/>
      <c r="J715" s="216"/>
      <c r="K715" s="216"/>
      <c r="L715" s="216">
        <v>2812.5</v>
      </c>
      <c r="M715" s="17">
        <v>3693006.72</v>
      </c>
      <c r="N715" s="216"/>
      <c r="O715" s="216"/>
      <c r="P715" s="206"/>
    </row>
    <row r="716" spans="1:16" ht="25.5">
      <c r="A716" s="224">
        <v>277</v>
      </c>
      <c r="B716" s="241" t="s">
        <v>57</v>
      </c>
      <c r="C716" s="17">
        <f t="shared" si="30"/>
        <v>4807603.9</v>
      </c>
      <c r="D716" s="216"/>
      <c r="E716" s="216"/>
      <c r="F716" s="216"/>
      <c r="G716" s="216"/>
      <c r="H716" s="216"/>
      <c r="I716" s="216"/>
      <c r="J716" s="216"/>
      <c r="K716" s="216"/>
      <c r="L716" s="216">
        <v>3840.24</v>
      </c>
      <c r="M716" s="17">
        <v>4807603.9</v>
      </c>
      <c r="N716" s="216"/>
      <c r="O716" s="216"/>
      <c r="P716" s="206"/>
    </row>
    <row r="717" spans="1:16" ht="25.5">
      <c r="A717" s="224">
        <v>278</v>
      </c>
      <c r="B717" s="241" t="s">
        <v>900</v>
      </c>
      <c r="C717" s="17">
        <f t="shared" si="30"/>
        <v>3975729.95</v>
      </c>
      <c r="D717" s="216"/>
      <c r="E717" s="216"/>
      <c r="F717" s="216"/>
      <c r="G717" s="216"/>
      <c r="H717" s="216"/>
      <c r="I717" s="216"/>
      <c r="J717" s="216"/>
      <c r="K717" s="216"/>
      <c r="L717" s="216">
        <v>2962.24</v>
      </c>
      <c r="M717" s="17">
        <v>3975729.95</v>
      </c>
      <c r="N717" s="216"/>
      <c r="O717" s="216"/>
      <c r="P717" s="206"/>
    </row>
    <row r="718" spans="1:16" ht="25.5">
      <c r="A718" s="224">
        <v>279</v>
      </c>
      <c r="B718" s="241" t="s">
        <v>901</v>
      </c>
      <c r="C718" s="17">
        <f t="shared" si="30"/>
        <v>3493691.48</v>
      </c>
      <c r="D718" s="216"/>
      <c r="E718" s="216"/>
      <c r="F718" s="216"/>
      <c r="G718" s="216"/>
      <c r="H718" s="216"/>
      <c r="I718" s="216"/>
      <c r="J718" s="216"/>
      <c r="K718" s="216"/>
      <c r="L718" s="216">
        <v>2583.83</v>
      </c>
      <c r="M718" s="17">
        <v>3493691.48</v>
      </c>
      <c r="N718" s="216"/>
      <c r="O718" s="216"/>
      <c r="P718" s="206"/>
    </row>
    <row r="719" spans="1:16" ht="25.5">
      <c r="A719" s="224">
        <v>280</v>
      </c>
      <c r="B719" s="241" t="s">
        <v>902</v>
      </c>
      <c r="C719" s="17">
        <f t="shared" si="30"/>
        <v>3278479.93</v>
      </c>
      <c r="D719" s="17">
        <v>3278479.93</v>
      </c>
      <c r="E719" s="216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06"/>
    </row>
    <row r="720" spans="1:16" ht="25.5">
      <c r="A720" s="224">
        <v>281</v>
      </c>
      <c r="B720" s="241" t="s">
        <v>903</v>
      </c>
      <c r="C720" s="17">
        <f t="shared" si="30"/>
        <v>5415462.07</v>
      </c>
      <c r="D720" s="216"/>
      <c r="E720" s="216"/>
      <c r="F720" s="216">
        <v>1642</v>
      </c>
      <c r="G720" s="17">
        <v>5415462.07</v>
      </c>
      <c r="H720" s="216"/>
      <c r="I720" s="216"/>
      <c r="J720" s="216"/>
      <c r="K720" s="216"/>
      <c r="L720" s="216"/>
      <c r="M720" s="216"/>
      <c r="N720" s="216"/>
      <c r="O720" s="216"/>
      <c r="P720" s="206"/>
    </row>
    <row r="721" spans="1:16" ht="25.5">
      <c r="A721" s="224">
        <v>282</v>
      </c>
      <c r="B721" s="241" t="s">
        <v>904</v>
      </c>
      <c r="C721" s="17">
        <f t="shared" si="30"/>
        <v>2521296.4699999997</v>
      </c>
      <c r="D721" s="216">
        <v>1165165.81</v>
      </c>
      <c r="E721" s="216"/>
      <c r="F721" s="216">
        <v>888.1</v>
      </c>
      <c r="G721" s="216">
        <v>1356130.66</v>
      </c>
      <c r="H721" s="216"/>
      <c r="I721" s="216"/>
      <c r="J721" s="216"/>
      <c r="K721" s="216"/>
      <c r="L721" s="216"/>
      <c r="M721" s="216"/>
      <c r="N721" s="216"/>
      <c r="O721" s="216"/>
      <c r="P721" s="206"/>
    </row>
    <row r="722" spans="1:16" ht="38.25">
      <c r="A722" s="224">
        <v>283</v>
      </c>
      <c r="B722" s="241" t="s">
        <v>905</v>
      </c>
      <c r="C722" s="17">
        <f t="shared" si="30"/>
        <v>4234120.41</v>
      </c>
      <c r="D722" s="17">
        <v>4234120.41</v>
      </c>
      <c r="E722" s="216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06"/>
    </row>
    <row r="723" spans="1:16" ht="25.5">
      <c r="A723" s="224">
        <v>284</v>
      </c>
      <c r="B723" s="241" t="s">
        <v>906</v>
      </c>
      <c r="C723" s="17">
        <f t="shared" si="30"/>
        <v>4413984.25</v>
      </c>
      <c r="D723" s="17">
        <v>3600318.46</v>
      </c>
      <c r="E723" s="17">
        <v>813665.79</v>
      </c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06"/>
    </row>
    <row r="724" spans="1:16" ht="43.5" customHeight="1">
      <c r="A724" s="224">
        <v>285</v>
      </c>
      <c r="B724" s="241" t="s">
        <v>907</v>
      </c>
      <c r="C724" s="17">
        <f t="shared" si="30"/>
        <v>4223888.09</v>
      </c>
      <c r="D724" s="216"/>
      <c r="E724" s="17">
        <v>4223888.09</v>
      </c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06"/>
    </row>
    <row r="725" spans="1:16" ht="25.5">
      <c r="A725" s="224">
        <v>286</v>
      </c>
      <c r="B725" s="241" t="s">
        <v>908</v>
      </c>
      <c r="C725" s="17">
        <f t="shared" si="30"/>
        <v>3368023.91</v>
      </c>
      <c r="D725" s="216">
        <v>2699301.99</v>
      </c>
      <c r="E725" s="216">
        <v>668721.92</v>
      </c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06"/>
    </row>
    <row r="726" spans="1:16" ht="25.5">
      <c r="A726" s="224">
        <v>287</v>
      </c>
      <c r="B726" s="241" t="s">
        <v>1293</v>
      </c>
      <c r="C726" s="17">
        <f t="shared" si="30"/>
        <v>3665960.33</v>
      </c>
      <c r="D726" s="216"/>
      <c r="E726" s="216"/>
      <c r="F726" s="216">
        <v>1329.8</v>
      </c>
      <c r="G726" s="17">
        <v>3665960.33</v>
      </c>
      <c r="H726" s="216"/>
      <c r="I726" s="216"/>
      <c r="J726" s="216"/>
      <c r="K726" s="216"/>
      <c r="L726" s="216"/>
      <c r="M726" s="216"/>
      <c r="N726" s="216"/>
      <c r="O726" s="216"/>
      <c r="P726" s="206"/>
    </row>
    <row r="727" spans="1:16" ht="25.5">
      <c r="A727" s="224">
        <v>288</v>
      </c>
      <c r="B727" s="241" t="s">
        <v>245</v>
      </c>
      <c r="C727" s="17">
        <f t="shared" si="30"/>
        <v>1948916.6</v>
      </c>
      <c r="D727" s="216"/>
      <c r="E727" s="216"/>
      <c r="F727" s="216">
        <v>1271.5</v>
      </c>
      <c r="G727" s="17">
        <v>1948916.6</v>
      </c>
      <c r="H727" s="216"/>
      <c r="I727" s="216"/>
      <c r="J727" s="216"/>
      <c r="K727" s="216"/>
      <c r="L727" s="216"/>
      <c r="M727" s="216"/>
      <c r="N727" s="216"/>
      <c r="O727" s="216"/>
      <c r="P727" s="206"/>
    </row>
    <row r="728" spans="1:16" ht="25.5">
      <c r="A728" s="224">
        <v>289</v>
      </c>
      <c r="B728" s="241" t="s">
        <v>1294</v>
      </c>
      <c r="C728" s="17">
        <f t="shared" si="30"/>
        <v>2154733.98</v>
      </c>
      <c r="D728" s="216"/>
      <c r="E728" s="216"/>
      <c r="F728" s="216">
        <v>1249.7</v>
      </c>
      <c r="G728" s="17">
        <v>2154733.98</v>
      </c>
      <c r="H728" s="216"/>
      <c r="I728" s="216"/>
      <c r="J728" s="216"/>
      <c r="K728" s="216"/>
      <c r="L728" s="216"/>
      <c r="M728" s="216"/>
      <c r="N728" s="216"/>
      <c r="O728" s="216"/>
      <c r="P728" s="206"/>
    </row>
    <row r="729" spans="1:16" ht="25.5">
      <c r="A729" s="224">
        <v>290</v>
      </c>
      <c r="B729" s="241" t="s">
        <v>997</v>
      </c>
      <c r="C729" s="17">
        <f t="shared" si="30"/>
        <v>3664325.7600000002</v>
      </c>
      <c r="D729" s="216">
        <v>2969559.33</v>
      </c>
      <c r="E729" s="216">
        <v>694766.43</v>
      </c>
      <c r="F729" s="216"/>
      <c r="G729" s="216"/>
      <c r="H729" s="216"/>
      <c r="I729" s="216"/>
      <c r="J729" s="216"/>
      <c r="K729" s="216"/>
      <c r="L729" s="216"/>
      <c r="M729" s="216"/>
      <c r="N729" s="216"/>
      <c r="O729" s="216"/>
      <c r="P729" s="206"/>
    </row>
    <row r="730" spans="1:16" ht="45" customHeight="1">
      <c r="A730" s="224">
        <v>291</v>
      </c>
      <c r="B730" s="241" t="s">
        <v>1275</v>
      </c>
      <c r="C730" s="17">
        <f t="shared" si="30"/>
        <v>1347617.73</v>
      </c>
      <c r="D730" s="17">
        <v>1347617.73</v>
      </c>
      <c r="E730" s="216"/>
      <c r="F730" s="216"/>
      <c r="G730" s="216"/>
      <c r="H730" s="216"/>
      <c r="I730" s="216"/>
      <c r="J730" s="216"/>
      <c r="K730" s="216"/>
      <c r="L730" s="216"/>
      <c r="M730" s="216"/>
      <c r="N730" s="216"/>
      <c r="O730" s="216"/>
      <c r="P730" s="206"/>
    </row>
    <row r="731" spans="1:16" ht="12.75">
      <c r="A731" s="198"/>
      <c r="B731" s="222" t="s">
        <v>1437</v>
      </c>
      <c r="C731" s="218">
        <f aca="true" t="shared" si="31" ref="C731:M731">SUM(C615:C730)</f>
        <v>532072904.14000016</v>
      </c>
      <c r="D731" s="218">
        <f t="shared" si="31"/>
        <v>193045142.61999997</v>
      </c>
      <c r="E731" s="218">
        <f t="shared" si="31"/>
        <v>27721745.67</v>
      </c>
      <c r="F731" s="218">
        <f t="shared" si="31"/>
        <v>31729.9</v>
      </c>
      <c r="G731" s="218">
        <f t="shared" si="31"/>
        <v>70543533.65</v>
      </c>
      <c r="H731" s="223">
        <f t="shared" si="31"/>
        <v>2</v>
      </c>
      <c r="I731" s="218">
        <f t="shared" si="31"/>
        <v>3693224.2</v>
      </c>
      <c r="J731" s="218">
        <f t="shared" si="31"/>
        <v>5384.3</v>
      </c>
      <c r="K731" s="218">
        <f t="shared" si="31"/>
        <v>2791300.56</v>
      </c>
      <c r="L731" s="218">
        <f t="shared" si="31"/>
        <v>111323.66</v>
      </c>
      <c r="M731" s="218">
        <f t="shared" si="31"/>
        <v>234277957.43999997</v>
      </c>
      <c r="N731" s="218"/>
      <c r="O731" s="218"/>
      <c r="P731" s="206"/>
    </row>
    <row r="732" spans="1:16" ht="27.75" customHeight="1">
      <c r="A732" s="198"/>
      <c r="B732" s="222" t="s">
        <v>786</v>
      </c>
      <c r="C732" s="243">
        <f aca="true" t="shared" si="32" ref="C732:M732">C399+C403+C411+C416+C423+C432+C436+C441+C452+C460+C464+C469+C483+C499+C502+C514+C518+C521+C529+C571+C604+C613+C731</f>
        <v>932923275.2800001</v>
      </c>
      <c r="D732" s="243">
        <f t="shared" si="32"/>
        <v>346378007.22999996</v>
      </c>
      <c r="E732" s="243">
        <f t="shared" si="32"/>
        <v>37275754.18</v>
      </c>
      <c r="F732" s="243">
        <f t="shared" si="32"/>
        <v>121604.13</v>
      </c>
      <c r="G732" s="243">
        <f t="shared" si="32"/>
        <v>300011470.58</v>
      </c>
      <c r="H732" s="256">
        <f t="shared" si="32"/>
        <v>4</v>
      </c>
      <c r="I732" s="243">
        <f t="shared" si="32"/>
        <v>7999360.79</v>
      </c>
      <c r="J732" s="243">
        <f t="shared" si="32"/>
        <v>6300.39</v>
      </c>
      <c r="K732" s="243">
        <f t="shared" si="32"/>
        <v>3297993.7600000002</v>
      </c>
      <c r="L732" s="243">
        <f t="shared" si="32"/>
        <v>112382.06</v>
      </c>
      <c r="M732" s="243">
        <f t="shared" si="32"/>
        <v>237960688.73999998</v>
      </c>
      <c r="N732" s="243"/>
      <c r="O732" s="243"/>
      <c r="P732" s="206"/>
    </row>
    <row r="733" spans="1:16" ht="12.75">
      <c r="A733" s="337" t="s">
        <v>1155</v>
      </c>
      <c r="B733" s="338"/>
      <c r="C733" s="338"/>
      <c r="D733" s="338"/>
      <c r="E733" s="338"/>
      <c r="F733" s="338"/>
      <c r="G733" s="338"/>
      <c r="H733" s="338"/>
      <c r="I733" s="338"/>
      <c r="J733" s="338"/>
      <c r="K733" s="338"/>
      <c r="L733" s="338"/>
      <c r="M733" s="338"/>
      <c r="N733" s="338"/>
      <c r="O733" s="338"/>
      <c r="P733" s="339"/>
    </row>
    <row r="734" spans="1:16" ht="12.75">
      <c r="A734" s="337" t="s">
        <v>1668</v>
      </c>
      <c r="B734" s="338"/>
      <c r="C734" s="338"/>
      <c r="D734" s="338"/>
      <c r="E734" s="338"/>
      <c r="F734" s="338"/>
      <c r="G734" s="338"/>
      <c r="H734" s="338"/>
      <c r="I734" s="338"/>
      <c r="J734" s="338"/>
      <c r="K734" s="338"/>
      <c r="L734" s="338"/>
      <c r="M734" s="338"/>
      <c r="N734" s="338"/>
      <c r="O734" s="338"/>
      <c r="P734" s="339"/>
    </row>
    <row r="735" spans="1:16" ht="25.5">
      <c r="A735" s="196">
        <v>1</v>
      </c>
      <c r="B735" s="20" t="s">
        <v>1334</v>
      </c>
      <c r="C735" s="216">
        <f>D735+E735+G735</f>
        <v>1316043.66</v>
      </c>
      <c r="D735" s="244"/>
      <c r="E735" s="244"/>
      <c r="F735" s="153">
        <v>658</v>
      </c>
      <c r="G735" s="216">
        <v>1316043.66</v>
      </c>
      <c r="H735" s="20"/>
      <c r="I735" s="244"/>
      <c r="J735" s="208"/>
      <c r="K735" s="208"/>
      <c r="L735" s="208"/>
      <c r="M735" s="208"/>
      <c r="N735" s="20"/>
      <c r="O735" s="208"/>
      <c r="P735" s="260"/>
    </row>
    <row r="736" spans="1:16" ht="12.75">
      <c r="A736" s="198"/>
      <c r="B736" s="202" t="s">
        <v>380</v>
      </c>
      <c r="C736" s="201">
        <f>SUM(C735)</f>
        <v>1316043.66</v>
      </c>
      <c r="D736" s="201"/>
      <c r="E736" s="201"/>
      <c r="F736" s="201">
        <f>SUM(F735)</f>
        <v>658</v>
      </c>
      <c r="G736" s="201">
        <f>SUM(G735)</f>
        <v>1316043.66</v>
      </c>
      <c r="H736" s="153"/>
      <c r="I736" s="153"/>
      <c r="J736" s="153"/>
      <c r="K736" s="153"/>
      <c r="L736" s="153"/>
      <c r="M736" s="153"/>
      <c r="N736" s="153"/>
      <c r="O736" s="153"/>
      <c r="P736" s="206"/>
    </row>
    <row r="737" spans="1:16" ht="12.75">
      <c r="A737" s="337" t="s">
        <v>1666</v>
      </c>
      <c r="B737" s="338"/>
      <c r="C737" s="338"/>
      <c r="D737" s="338"/>
      <c r="E737" s="338"/>
      <c r="F737" s="338"/>
      <c r="G737" s="338"/>
      <c r="H737" s="338"/>
      <c r="I737" s="338"/>
      <c r="J737" s="338"/>
      <c r="K737" s="338"/>
      <c r="L737" s="338"/>
      <c r="M737" s="338"/>
      <c r="N737" s="338"/>
      <c r="O737" s="338"/>
      <c r="P737" s="339"/>
    </row>
    <row r="738" spans="1:16" ht="25.5">
      <c r="A738" s="200">
        <v>2</v>
      </c>
      <c r="B738" s="20" t="s">
        <v>719</v>
      </c>
      <c r="C738" s="17">
        <f>D738+E738+G738</f>
        <v>2688828.19</v>
      </c>
      <c r="D738" s="17"/>
      <c r="E738" s="17"/>
      <c r="F738" s="17">
        <v>901</v>
      </c>
      <c r="G738" s="17">
        <v>2688828.19</v>
      </c>
      <c r="H738" s="153"/>
      <c r="I738" s="153"/>
      <c r="J738" s="153"/>
      <c r="K738" s="153"/>
      <c r="L738" s="153"/>
      <c r="M738" s="153"/>
      <c r="N738" s="153"/>
      <c r="O738" s="153"/>
      <c r="P738" s="206"/>
    </row>
    <row r="739" spans="1:16" ht="25.5">
      <c r="A739" s="200">
        <v>3</v>
      </c>
      <c r="B739" s="20" t="s">
        <v>1527</v>
      </c>
      <c r="C739" s="17">
        <f>D739+E739+G739</f>
        <v>184042.39</v>
      </c>
      <c r="D739" s="17">
        <v>184042.39</v>
      </c>
      <c r="E739" s="17"/>
      <c r="F739" s="17"/>
      <c r="G739" s="17"/>
      <c r="H739" s="153"/>
      <c r="I739" s="153"/>
      <c r="J739" s="153"/>
      <c r="K739" s="153"/>
      <c r="L739" s="153"/>
      <c r="M739" s="153"/>
      <c r="N739" s="153"/>
      <c r="O739" s="153"/>
      <c r="P739" s="206"/>
    </row>
    <row r="740" spans="1:16" ht="12.75">
      <c r="A740" s="198"/>
      <c r="B740" s="202" t="s">
        <v>380</v>
      </c>
      <c r="C740" s="201">
        <f>SUM(C738:C739)</f>
        <v>2872870.58</v>
      </c>
      <c r="D740" s="201">
        <f>SUM(D738:D739)</f>
        <v>184042.39</v>
      </c>
      <c r="E740" s="201"/>
      <c r="F740" s="201">
        <f>SUM(F738:F739)</f>
        <v>901</v>
      </c>
      <c r="G740" s="201">
        <f>SUM(G738:G739)</f>
        <v>2688828.19</v>
      </c>
      <c r="H740" s="153"/>
      <c r="I740" s="153"/>
      <c r="J740" s="153"/>
      <c r="K740" s="153"/>
      <c r="L740" s="153"/>
      <c r="M740" s="153"/>
      <c r="N740" s="153"/>
      <c r="O740" s="153"/>
      <c r="P740" s="206"/>
    </row>
    <row r="741" spans="1:16" ht="12.75">
      <c r="A741" s="337" t="s">
        <v>1667</v>
      </c>
      <c r="B741" s="338"/>
      <c r="C741" s="338"/>
      <c r="D741" s="338"/>
      <c r="E741" s="338"/>
      <c r="F741" s="338"/>
      <c r="G741" s="338"/>
      <c r="H741" s="338"/>
      <c r="I741" s="338"/>
      <c r="J741" s="338"/>
      <c r="K741" s="338"/>
      <c r="L741" s="338"/>
      <c r="M741" s="338"/>
      <c r="N741" s="338"/>
      <c r="O741" s="338"/>
      <c r="P741" s="339"/>
    </row>
    <row r="742" spans="1:16" ht="25.5">
      <c r="A742" s="196">
        <v>4</v>
      </c>
      <c r="B742" s="20" t="s">
        <v>1468</v>
      </c>
      <c r="C742" s="17">
        <f>D742+E742+G742</f>
        <v>1845755.83</v>
      </c>
      <c r="D742" s="17">
        <v>1845755.83</v>
      </c>
      <c r="E742" s="153"/>
      <c r="F742" s="153"/>
      <c r="G742" s="203"/>
      <c r="H742" s="153"/>
      <c r="I742" s="153"/>
      <c r="J742" s="153"/>
      <c r="K742" s="153"/>
      <c r="L742" s="153"/>
      <c r="M742" s="153"/>
      <c r="N742" s="153"/>
      <c r="O742" s="153"/>
      <c r="P742" s="206"/>
    </row>
    <row r="743" spans="1:16" ht="25.5">
      <c r="A743" s="196">
        <v>5</v>
      </c>
      <c r="B743" s="205" t="s">
        <v>558</v>
      </c>
      <c r="C743" s="17">
        <f>D743+E743+G743</f>
        <v>1598165.87</v>
      </c>
      <c r="D743" s="203"/>
      <c r="E743" s="153"/>
      <c r="F743" s="153">
        <v>515</v>
      </c>
      <c r="G743" s="17">
        <v>1598165.87</v>
      </c>
      <c r="H743" s="153"/>
      <c r="I743" s="153"/>
      <c r="J743" s="153"/>
      <c r="K743" s="153"/>
      <c r="L743" s="153"/>
      <c r="M743" s="153"/>
      <c r="N743" s="153"/>
      <c r="O743" s="153"/>
      <c r="P743" s="206"/>
    </row>
    <row r="744" spans="1:16" ht="25.5">
      <c r="A744" s="196">
        <v>6</v>
      </c>
      <c r="B744" s="205" t="s">
        <v>559</v>
      </c>
      <c r="C744" s="17">
        <f>D744+E744+G744</f>
        <v>1617910.51</v>
      </c>
      <c r="D744" s="203"/>
      <c r="E744" s="153"/>
      <c r="F744" s="153">
        <v>673.9</v>
      </c>
      <c r="G744" s="17">
        <v>1617910.51</v>
      </c>
      <c r="H744" s="153"/>
      <c r="I744" s="153"/>
      <c r="J744" s="153"/>
      <c r="K744" s="153"/>
      <c r="L744" s="153"/>
      <c r="M744" s="153"/>
      <c r="N744" s="153"/>
      <c r="O744" s="153"/>
      <c r="P744" s="206"/>
    </row>
    <row r="745" spans="1:16" ht="25.5">
      <c r="A745" s="196">
        <v>7</v>
      </c>
      <c r="B745" s="205" t="s">
        <v>560</v>
      </c>
      <c r="C745" s="17">
        <f>D745+E745+G745</f>
        <v>1148802.4</v>
      </c>
      <c r="D745" s="203"/>
      <c r="E745" s="153"/>
      <c r="F745" s="153">
        <v>388</v>
      </c>
      <c r="G745" s="17">
        <v>1148802.4</v>
      </c>
      <c r="H745" s="153"/>
      <c r="I745" s="153"/>
      <c r="J745" s="153"/>
      <c r="K745" s="153"/>
      <c r="L745" s="153"/>
      <c r="M745" s="153"/>
      <c r="N745" s="153"/>
      <c r="O745" s="153"/>
      <c r="P745" s="206"/>
    </row>
    <row r="746" spans="1:16" ht="25.5">
      <c r="A746" s="196">
        <v>8</v>
      </c>
      <c r="B746" s="205" t="s">
        <v>246</v>
      </c>
      <c r="C746" s="17">
        <f>D746+E746+G746</f>
        <v>1979926.57</v>
      </c>
      <c r="D746" s="203"/>
      <c r="E746" s="153"/>
      <c r="F746" s="153">
        <v>586.3</v>
      </c>
      <c r="G746" s="230">
        <v>1979926.57</v>
      </c>
      <c r="H746" s="153"/>
      <c r="I746" s="153"/>
      <c r="J746" s="153"/>
      <c r="K746" s="153"/>
      <c r="L746" s="153"/>
      <c r="M746" s="153"/>
      <c r="N746" s="153"/>
      <c r="O746" s="153"/>
      <c r="P746" s="206"/>
    </row>
    <row r="747" spans="1:16" ht="14.25">
      <c r="A747" s="196"/>
      <c r="B747" s="202" t="s">
        <v>380</v>
      </c>
      <c r="C747" s="201">
        <f>SUM(C742:C746)</f>
        <v>8190561.18</v>
      </c>
      <c r="D747" s="201">
        <f>SUM(D742:D746)</f>
        <v>1845755.83</v>
      </c>
      <c r="E747" s="201"/>
      <c r="F747" s="201">
        <f>SUM(F742:F746)</f>
        <v>2163.2</v>
      </c>
      <c r="G747" s="201">
        <f>SUM(G742:G746)</f>
        <v>6344805.35</v>
      </c>
      <c r="H747" s="207"/>
      <c r="I747" s="207"/>
      <c r="J747" s="207"/>
      <c r="K747" s="207"/>
      <c r="L747" s="207"/>
      <c r="M747" s="207"/>
      <c r="N747" s="81"/>
      <c r="O747" s="153"/>
      <c r="P747" s="206"/>
    </row>
    <row r="748" spans="1:16" ht="12.75">
      <c r="A748" s="337" t="s">
        <v>1367</v>
      </c>
      <c r="B748" s="338"/>
      <c r="C748" s="338"/>
      <c r="D748" s="338"/>
      <c r="E748" s="338"/>
      <c r="F748" s="338"/>
      <c r="G748" s="338"/>
      <c r="H748" s="338"/>
      <c r="I748" s="338"/>
      <c r="J748" s="338"/>
      <c r="K748" s="338"/>
      <c r="L748" s="338"/>
      <c r="M748" s="338"/>
      <c r="N748" s="338"/>
      <c r="O748" s="338"/>
      <c r="P748" s="339"/>
    </row>
    <row r="749" spans="1:16" ht="29.25" customHeight="1">
      <c r="A749" s="196">
        <v>9</v>
      </c>
      <c r="B749" s="205" t="s">
        <v>1469</v>
      </c>
      <c r="C749" s="17">
        <f>D749+E749+G749</f>
        <v>2603680.86</v>
      </c>
      <c r="D749" s="203">
        <v>1860457.47</v>
      </c>
      <c r="E749" s="203"/>
      <c r="F749" s="203">
        <v>356.22</v>
      </c>
      <c r="G749" s="203">
        <v>743223.39</v>
      </c>
      <c r="H749" s="153"/>
      <c r="I749" s="153"/>
      <c r="J749" s="153"/>
      <c r="K749" s="153"/>
      <c r="L749" s="153"/>
      <c r="M749" s="153"/>
      <c r="N749" s="153"/>
      <c r="O749" s="153"/>
      <c r="P749" s="206"/>
    </row>
    <row r="750" spans="1:16" ht="25.5">
      <c r="A750" s="196">
        <v>10</v>
      </c>
      <c r="B750" s="205" t="s">
        <v>561</v>
      </c>
      <c r="C750" s="17">
        <f>D750+E750+G750</f>
        <v>4073981.89</v>
      </c>
      <c r="D750" s="203"/>
      <c r="E750" s="203"/>
      <c r="F750" s="203">
        <v>1205.6</v>
      </c>
      <c r="G750" s="17">
        <v>4073981.89</v>
      </c>
      <c r="H750" s="153"/>
      <c r="I750" s="153"/>
      <c r="J750" s="153"/>
      <c r="K750" s="153"/>
      <c r="L750" s="153"/>
      <c r="M750" s="153"/>
      <c r="N750" s="153"/>
      <c r="O750" s="153"/>
      <c r="P750" s="206"/>
    </row>
    <row r="751" spans="1:16" ht="12.75">
      <c r="A751" s="196"/>
      <c r="B751" s="202" t="s">
        <v>1379</v>
      </c>
      <c r="C751" s="201">
        <f>SUM(C749:C750)</f>
        <v>6677662.75</v>
      </c>
      <c r="D751" s="201">
        <f>SUM(D749:D750)</f>
        <v>1860457.47</v>
      </c>
      <c r="E751" s="201"/>
      <c r="F751" s="201">
        <f>SUM(F749:F750)</f>
        <v>1561.82</v>
      </c>
      <c r="G751" s="201">
        <f>SUM(G749:G750)</f>
        <v>4817205.28</v>
      </c>
      <c r="H751" s="201"/>
      <c r="I751" s="201"/>
      <c r="J751" s="201"/>
      <c r="K751" s="201"/>
      <c r="L751" s="201"/>
      <c r="M751" s="201"/>
      <c r="N751" s="153"/>
      <c r="O751" s="153"/>
      <c r="P751" s="206"/>
    </row>
    <row r="752" spans="1:16" ht="12.75">
      <c r="A752" s="337" t="s">
        <v>378</v>
      </c>
      <c r="B752" s="338"/>
      <c r="C752" s="338"/>
      <c r="D752" s="338"/>
      <c r="E752" s="338"/>
      <c r="F752" s="338"/>
      <c r="G752" s="338"/>
      <c r="H752" s="338"/>
      <c r="I752" s="338"/>
      <c r="J752" s="338"/>
      <c r="K752" s="338"/>
      <c r="L752" s="338"/>
      <c r="M752" s="338"/>
      <c r="N752" s="338"/>
      <c r="O752" s="338"/>
      <c r="P752" s="339"/>
    </row>
    <row r="753" spans="1:16" ht="25.5">
      <c r="A753" s="196">
        <v>11</v>
      </c>
      <c r="B753" s="205" t="s">
        <v>154</v>
      </c>
      <c r="C753" s="17">
        <f>D753+E753+G753</f>
        <v>129964.89</v>
      </c>
      <c r="D753" s="17">
        <v>129964.89</v>
      </c>
      <c r="E753" s="17"/>
      <c r="F753" s="17"/>
      <c r="G753" s="17"/>
      <c r="H753" s="8"/>
      <c r="I753" s="8"/>
      <c r="J753" s="8"/>
      <c r="K753" s="8"/>
      <c r="L753" s="8"/>
      <c r="M753" s="17"/>
      <c r="N753" s="8"/>
      <c r="O753" s="8"/>
      <c r="P753" s="206"/>
    </row>
    <row r="754" spans="1:16" ht="25.5">
      <c r="A754" s="196">
        <v>12</v>
      </c>
      <c r="B754" s="205" t="s">
        <v>1652</v>
      </c>
      <c r="C754" s="17">
        <f>D754+E754+G754</f>
        <v>125238.84</v>
      </c>
      <c r="D754" s="17">
        <v>125238.84</v>
      </c>
      <c r="E754" s="17"/>
      <c r="F754" s="17"/>
      <c r="G754" s="17"/>
      <c r="H754" s="8"/>
      <c r="I754" s="8"/>
      <c r="J754" s="8"/>
      <c r="K754" s="8"/>
      <c r="L754" s="8"/>
      <c r="M754" s="17"/>
      <c r="N754" s="8"/>
      <c r="O754" s="8"/>
      <c r="P754" s="206"/>
    </row>
    <row r="755" spans="1:16" ht="25.5">
      <c r="A755" s="196">
        <v>13</v>
      </c>
      <c r="B755" s="205" t="s">
        <v>370</v>
      </c>
      <c r="C755" s="17">
        <f>D755+E755+G755</f>
        <v>855842.9</v>
      </c>
      <c r="D755" s="17">
        <v>855842.9</v>
      </c>
      <c r="E755" s="17"/>
      <c r="F755" s="17"/>
      <c r="G755" s="17"/>
      <c r="H755" s="8"/>
      <c r="I755" s="8"/>
      <c r="J755" s="8"/>
      <c r="K755" s="8"/>
      <c r="L755" s="8"/>
      <c r="M755" s="17"/>
      <c r="N755" s="8"/>
      <c r="O755" s="8"/>
      <c r="P755" s="206"/>
    </row>
    <row r="756" spans="1:16" ht="12.75">
      <c r="A756" s="198"/>
      <c r="B756" s="202" t="s">
        <v>380</v>
      </c>
      <c r="C756" s="201">
        <f>SUM(C753:C755)</f>
        <v>1111046.63</v>
      </c>
      <c r="D756" s="201">
        <f>SUM(D753:D755)</f>
        <v>1111046.63</v>
      </c>
      <c r="E756" s="201"/>
      <c r="F756" s="201"/>
      <c r="G756" s="201"/>
      <c r="H756" s="207"/>
      <c r="I756" s="207"/>
      <c r="J756" s="207"/>
      <c r="K756" s="207"/>
      <c r="L756" s="207"/>
      <c r="M756" s="207"/>
      <c r="N756" s="207"/>
      <c r="O756" s="8"/>
      <c r="P756" s="206"/>
    </row>
    <row r="757" spans="1:16" ht="12.75">
      <c r="A757" s="337" t="s">
        <v>381</v>
      </c>
      <c r="B757" s="338"/>
      <c r="C757" s="338"/>
      <c r="D757" s="338"/>
      <c r="E757" s="338"/>
      <c r="F757" s="338"/>
      <c r="G757" s="338"/>
      <c r="H757" s="338"/>
      <c r="I757" s="338"/>
      <c r="J757" s="338"/>
      <c r="K757" s="338"/>
      <c r="L757" s="338"/>
      <c r="M757" s="338"/>
      <c r="N757" s="338"/>
      <c r="O757" s="338"/>
      <c r="P757" s="339"/>
    </row>
    <row r="758" spans="1:16" ht="29.25" customHeight="1">
      <c r="A758" s="196">
        <v>14</v>
      </c>
      <c r="B758" s="20" t="s">
        <v>1240</v>
      </c>
      <c r="C758" s="17">
        <f>D758+E758+I758+K758</f>
        <v>441789.65</v>
      </c>
      <c r="D758" s="17">
        <v>441789.65</v>
      </c>
      <c r="E758" s="17"/>
      <c r="F758" s="17"/>
      <c r="G758" s="17"/>
      <c r="H758" s="153"/>
      <c r="I758" s="153"/>
      <c r="J758" s="153"/>
      <c r="K758" s="153"/>
      <c r="L758" s="153"/>
      <c r="M758" s="153"/>
      <c r="N758" s="153"/>
      <c r="O758" s="153"/>
      <c r="P758" s="206"/>
    </row>
    <row r="759" spans="1:16" ht="25.5">
      <c r="A759" s="196">
        <v>15</v>
      </c>
      <c r="B759" s="20" t="s">
        <v>443</v>
      </c>
      <c r="C759" s="17">
        <v>3052061.43</v>
      </c>
      <c r="D759" s="17">
        <v>453640.37</v>
      </c>
      <c r="E759" s="17"/>
      <c r="F759" s="17">
        <v>812.49</v>
      </c>
      <c r="G759" s="17">
        <v>2598421.06</v>
      </c>
      <c r="H759" s="153"/>
      <c r="I759" s="153"/>
      <c r="J759" s="153"/>
      <c r="K759" s="153"/>
      <c r="L759" s="153"/>
      <c r="M759" s="153"/>
      <c r="N759" s="153"/>
      <c r="O759" s="153"/>
      <c r="P759" s="206"/>
    </row>
    <row r="760" spans="1:16" ht="25.5">
      <c r="A760" s="196">
        <v>16</v>
      </c>
      <c r="B760" s="20" t="s">
        <v>1145</v>
      </c>
      <c r="C760" s="17">
        <v>2930629.49</v>
      </c>
      <c r="D760" s="17">
        <v>416078.23</v>
      </c>
      <c r="E760" s="17"/>
      <c r="F760" s="17">
        <v>656.83</v>
      </c>
      <c r="G760" s="17">
        <v>2514551.26</v>
      </c>
      <c r="H760" s="153"/>
      <c r="I760" s="153"/>
      <c r="J760" s="153"/>
      <c r="K760" s="153"/>
      <c r="L760" s="153"/>
      <c r="M760" s="153"/>
      <c r="N760" s="153"/>
      <c r="O760" s="153"/>
      <c r="P760" s="206"/>
    </row>
    <row r="761" spans="1:16" ht="25.5">
      <c r="A761" s="196">
        <v>17</v>
      </c>
      <c r="B761" s="20" t="s">
        <v>672</v>
      </c>
      <c r="C761" s="17">
        <v>2620679.23</v>
      </c>
      <c r="D761" s="17">
        <v>439209.35</v>
      </c>
      <c r="E761" s="17"/>
      <c r="F761" s="17">
        <v>656.8</v>
      </c>
      <c r="G761" s="17">
        <v>2181469.88</v>
      </c>
      <c r="H761" s="153"/>
      <c r="I761" s="153"/>
      <c r="J761" s="153"/>
      <c r="K761" s="153"/>
      <c r="L761" s="153"/>
      <c r="M761" s="153"/>
      <c r="N761" s="153"/>
      <c r="O761" s="153"/>
      <c r="P761" s="206"/>
    </row>
    <row r="762" spans="1:16" ht="25.5">
      <c r="A762" s="196">
        <v>18</v>
      </c>
      <c r="B762" s="20" t="s">
        <v>1238</v>
      </c>
      <c r="C762" s="17">
        <v>654297.3</v>
      </c>
      <c r="D762" s="17">
        <v>654297.3</v>
      </c>
      <c r="E762" s="17"/>
      <c r="F762" s="17"/>
      <c r="G762" s="17"/>
      <c r="H762" s="153"/>
      <c r="I762" s="153"/>
      <c r="J762" s="153"/>
      <c r="K762" s="153"/>
      <c r="L762" s="153"/>
      <c r="M762" s="153"/>
      <c r="N762" s="153"/>
      <c r="O762" s="153"/>
      <c r="P762" s="206"/>
    </row>
    <row r="763" spans="1:16" ht="25.5">
      <c r="A763" s="196">
        <v>19</v>
      </c>
      <c r="B763" s="20" t="s">
        <v>1239</v>
      </c>
      <c r="C763" s="17">
        <v>704412.1</v>
      </c>
      <c r="D763" s="17">
        <v>704412.1</v>
      </c>
      <c r="E763" s="17"/>
      <c r="F763" s="17"/>
      <c r="G763" s="17"/>
      <c r="H763" s="153"/>
      <c r="I763" s="153"/>
      <c r="J763" s="153"/>
      <c r="K763" s="153"/>
      <c r="L763" s="153"/>
      <c r="M763" s="153"/>
      <c r="N763" s="153"/>
      <c r="O763" s="153"/>
      <c r="P763" s="206"/>
    </row>
    <row r="764" spans="1:16" ht="25.5">
      <c r="A764" s="196">
        <v>20</v>
      </c>
      <c r="B764" s="20" t="s">
        <v>444</v>
      </c>
      <c r="C764" s="17">
        <v>2013954.8</v>
      </c>
      <c r="D764" s="17"/>
      <c r="E764" s="17"/>
      <c r="F764" s="17">
        <v>620</v>
      </c>
      <c r="G764" s="17">
        <v>2013954.8</v>
      </c>
      <c r="H764" s="153"/>
      <c r="I764" s="153"/>
      <c r="J764" s="153"/>
      <c r="K764" s="153"/>
      <c r="L764" s="153"/>
      <c r="M764" s="153"/>
      <c r="N764" s="153"/>
      <c r="O764" s="153"/>
      <c r="P764" s="206"/>
    </row>
    <row r="765" spans="1:16" ht="12.75">
      <c r="A765" s="196">
        <v>21</v>
      </c>
      <c r="B765" s="20" t="s">
        <v>1651</v>
      </c>
      <c r="C765" s="17">
        <v>1803410</v>
      </c>
      <c r="D765" s="17"/>
      <c r="E765" s="17"/>
      <c r="F765" s="17">
        <v>1200</v>
      </c>
      <c r="G765" s="17">
        <v>1803410</v>
      </c>
      <c r="H765" s="153"/>
      <c r="I765" s="153"/>
      <c r="J765" s="153"/>
      <c r="K765" s="153"/>
      <c r="L765" s="153"/>
      <c r="M765" s="153"/>
      <c r="N765" s="153"/>
      <c r="O765" s="153"/>
      <c r="P765" s="206"/>
    </row>
    <row r="766" spans="1:16" ht="12.75">
      <c r="A766" s="196"/>
      <c r="B766" s="202" t="s">
        <v>380</v>
      </c>
      <c r="C766" s="201">
        <f>SUM(C758:C765)</f>
        <v>14221234.000000002</v>
      </c>
      <c r="D766" s="201">
        <f>SUM(D758:D765)</f>
        <v>3109427.0000000005</v>
      </c>
      <c r="E766" s="201"/>
      <c r="F766" s="201">
        <f>SUM(F758:F765)</f>
        <v>3946.12</v>
      </c>
      <c r="G766" s="201">
        <f>SUM(G758:G765)</f>
        <v>11111807</v>
      </c>
      <c r="H766" s="201"/>
      <c r="I766" s="201"/>
      <c r="J766" s="201"/>
      <c r="K766" s="201"/>
      <c r="L766" s="201"/>
      <c r="M766" s="201"/>
      <c r="N766" s="153"/>
      <c r="O766" s="153"/>
      <c r="P766" s="206"/>
    </row>
    <row r="767" spans="1:16" ht="12.75">
      <c r="A767" s="337" t="s">
        <v>1378</v>
      </c>
      <c r="B767" s="338"/>
      <c r="C767" s="338"/>
      <c r="D767" s="338"/>
      <c r="E767" s="338"/>
      <c r="F767" s="338"/>
      <c r="G767" s="338"/>
      <c r="H767" s="338"/>
      <c r="I767" s="338"/>
      <c r="J767" s="338"/>
      <c r="K767" s="338"/>
      <c r="L767" s="338"/>
      <c r="M767" s="338"/>
      <c r="N767" s="338"/>
      <c r="O767" s="338"/>
      <c r="P767" s="339"/>
    </row>
    <row r="768" spans="1:16" ht="25.5">
      <c r="A768" s="196">
        <v>22</v>
      </c>
      <c r="B768" s="205" t="s">
        <v>562</v>
      </c>
      <c r="C768" s="17">
        <f>D768+E768+G768</f>
        <v>886666.61</v>
      </c>
      <c r="D768" s="17">
        <v>886666.61</v>
      </c>
      <c r="E768" s="17"/>
      <c r="F768" s="17"/>
      <c r="G768" s="17"/>
      <c r="H768" s="20"/>
      <c r="I768" s="20"/>
      <c r="J768" s="20"/>
      <c r="K768" s="20"/>
      <c r="L768" s="20"/>
      <c r="M768" s="20"/>
      <c r="N768" s="20"/>
      <c r="O768" s="20"/>
      <c r="P768" s="206"/>
    </row>
    <row r="769" spans="1:16" ht="25.5">
      <c r="A769" s="196">
        <v>23</v>
      </c>
      <c r="B769" s="205" t="s">
        <v>1470</v>
      </c>
      <c r="C769" s="17">
        <f>D769+E769+G769</f>
        <v>2489108.85</v>
      </c>
      <c r="D769" s="17"/>
      <c r="E769" s="17"/>
      <c r="F769" s="17">
        <v>886.69</v>
      </c>
      <c r="G769" s="17">
        <v>2489108.85</v>
      </c>
      <c r="H769" s="20"/>
      <c r="I769" s="20"/>
      <c r="J769" s="208"/>
      <c r="K769" s="20"/>
      <c r="L769" s="20"/>
      <c r="M769" s="20"/>
      <c r="N769" s="20"/>
      <c r="O769" s="20"/>
      <c r="P769" s="206"/>
    </row>
    <row r="770" spans="1:16" ht="12.75">
      <c r="A770" s="198"/>
      <c r="B770" s="202" t="s">
        <v>380</v>
      </c>
      <c r="C770" s="201">
        <f>SUM(C768:C769)</f>
        <v>3375775.46</v>
      </c>
      <c r="D770" s="201">
        <f>SUM(D768:D769)</f>
        <v>886666.61</v>
      </c>
      <c r="E770" s="201"/>
      <c r="F770" s="201">
        <f>SUM(F768:F769)</f>
        <v>886.69</v>
      </c>
      <c r="G770" s="201">
        <f>SUM(G768:G769)</f>
        <v>2489108.85</v>
      </c>
      <c r="H770" s="153"/>
      <c r="I770" s="153"/>
      <c r="J770" s="153"/>
      <c r="K770" s="153"/>
      <c r="L770" s="153"/>
      <c r="M770" s="153"/>
      <c r="N770" s="153"/>
      <c r="O770" s="20"/>
      <c r="P770" s="206"/>
    </row>
    <row r="771" spans="1:16" ht="12.75">
      <c r="A771" s="337" t="s">
        <v>1669</v>
      </c>
      <c r="B771" s="338"/>
      <c r="C771" s="338"/>
      <c r="D771" s="338"/>
      <c r="E771" s="338"/>
      <c r="F771" s="338"/>
      <c r="G771" s="338"/>
      <c r="H771" s="338"/>
      <c r="I771" s="338"/>
      <c r="J771" s="338"/>
      <c r="K771" s="338"/>
      <c r="L771" s="338"/>
      <c r="M771" s="338"/>
      <c r="N771" s="338"/>
      <c r="O771" s="338"/>
      <c r="P771" s="339"/>
    </row>
    <row r="772" spans="1:16" ht="25.5">
      <c r="A772" s="196">
        <v>24</v>
      </c>
      <c r="B772" s="205" t="s">
        <v>563</v>
      </c>
      <c r="C772" s="17">
        <f>D772+E772+G772</f>
        <v>1084818.07</v>
      </c>
      <c r="D772" s="17">
        <v>1084818.07</v>
      </c>
      <c r="E772" s="17"/>
      <c r="F772" s="17"/>
      <c r="G772" s="37"/>
      <c r="H772" s="163"/>
      <c r="I772" s="163"/>
      <c r="J772" s="163"/>
      <c r="K772" s="163"/>
      <c r="L772" s="163"/>
      <c r="M772" s="163"/>
      <c r="N772" s="160"/>
      <c r="O772" s="160"/>
      <c r="P772" s="247"/>
    </row>
    <row r="773" spans="1:16" ht="25.5">
      <c r="A773" s="196">
        <v>25</v>
      </c>
      <c r="B773" s="205" t="s">
        <v>564</v>
      </c>
      <c r="C773" s="17">
        <f>D773+E773+G773</f>
        <v>923992.62</v>
      </c>
      <c r="D773" s="17">
        <v>923992.62</v>
      </c>
      <c r="E773" s="17"/>
      <c r="F773" s="17"/>
      <c r="G773" s="37"/>
      <c r="H773" s="163"/>
      <c r="I773" s="163"/>
      <c r="J773" s="163"/>
      <c r="K773" s="163"/>
      <c r="L773" s="163"/>
      <c r="M773" s="163"/>
      <c r="N773" s="160"/>
      <c r="O773" s="160"/>
      <c r="P773" s="247"/>
    </row>
    <row r="774" spans="1:16" ht="25.5">
      <c r="A774" s="196">
        <v>26</v>
      </c>
      <c r="B774" s="205" t="s">
        <v>1655</v>
      </c>
      <c r="C774" s="17">
        <f>D774+E774+G774</f>
        <v>1131724.63</v>
      </c>
      <c r="D774" s="17"/>
      <c r="E774" s="17"/>
      <c r="F774" s="17">
        <v>661</v>
      </c>
      <c r="G774" s="17">
        <v>1131724.63</v>
      </c>
      <c r="H774" s="17"/>
      <c r="I774" s="17"/>
      <c r="J774" s="17"/>
      <c r="K774" s="17"/>
      <c r="L774" s="17"/>
      <c r="M774" s="17"/>
      <c r="N774" s="153"/>
      <c r="O774" s="153"/>
      <c r="P774" s="206"/>
    </row>
    <row r="775" spans="1:16" ht="25.5">
      <c r="A775" s="196">
        <v>27</v>
      </c>
      <c r="B775" s="205" t="s">
        <v>247</v>
      </c>
      <c r="C775" s="17">
        <f>D775+E775+G775</f>
        <v>2071787.29</v>
      </c>
      <c r="D775" s="17"/>
      <c r="E775" s="17"/>
      <c r="F775" s="17">
        <v>670</v>
      </c>
      <c r="G775" s="245">
        <v>2071787.29</v>
      </c>
      <c r="H775" s="17"/>
      <c r="I775" s="17"/>
      <c r="J775" s="17"/>
      <c r="K775" s="17"/>
      <c r="L775" s="17"/>
      <c r="M775" s="17"/>
      <c r="N775" s="153"/>
      <c r="O775" s="153"/>
      <c r="P775" s="206"/>
    </row>
    <row r="776" spans="1:16" ht="12.75">
      <c r="A776" s="198"/>
      <c r="B776" s="202" t="s">
        <v>380</v>
      </c>
      <c r="C776" s="201">
        <f>SUM(C772:C775)</f>
        <v>5212322.609999999</v>
      </c>
      <c r="D776" s="201">
        <f>SUM(D772:D775)</f>
        <v>2008810.69</v>
      </c>
      <c r="E776" s="201"/>
      <c r="F776" s="201">
        <f>SUM(F772:F775)</f>
        <v>1331</v>
      </c>
      <c r="G776" s="201">
        <f>SUM(G772:G775)</f>
        <v>3203511.92</v>
      </c>
      <c r="H776" s="201"/>
      <c r="I776" s="201"/>
      <c r="J776" s="201"/>
      <c r="K776" s="201"/>
      <c r="L776" s="201"/>
      <c r="M776" s="201"/>
      <c r="N776" s="153"/>
      <c r="O776" s="153"/>
      <c r="P776" s="206"/>
    </row>
    <row r="777" spans="1:16" ht="12.75">
      <c r="A777" s="337" t="s">
        <v>1360</v>
      </c>
      <c r="B777" s="338"/>
      <c r="C777" s="338"/>
      <c r="D777" s="338"/>
      <c r="E777" s="338"/>
      <c r="F777" s="338"/>
      <c r="G777" s="338"/>
      <c r="H777" s="338"/>
      <c r="I777" s="338"/>
      <c r="J777" s="338"/>
      <c r="K777" s="338"/>
      <c r="L777" s="338"/>
      <c r="M777" s="338"/>
      <c r="N777" s="338"/>
      <c r="O777" s="338"/>
      <c r="P777" s="339"/>
    </row>
    <row r="778" spans="1:16" ht="25.5">
      <c r="A778" s="196">
        <v>28</v>
      </c>
      <c r="B778" s="205" t="s">
        <v>1471</v>
      </c>
      <c r="C778" s="17">
        <f>D778+E778+G778</f>
        <v>3384945</v>
      </c>
      <c r="D778" s="17"/>
      <c r="E778" s="17"/>
      <c r="F778" s="17">
        <v>1390</v>
      </c>
      <c r="G778" s="17">
        <v>3384945</v>
      </c>
      <c r="H778" s="17"/>
      <c r="I778" s="17"/>
      <c r="J778" s="17"/>
      <c r="K778" s="17"/>
      <c r="L778" s="17"/>
      <c r="M778" s="17"/>
      <c r="N778" s="73"/>
      <c r="O778" s="73"/>
      <c r="P778" s="206"/>
    </row>
    <row r="779" spans="1:16" ht="25.5">
      <c r="A779" s="196">
        <v>29</v>
      </c>
      <c r="B779" s="205" t="s">
        <v>172</v>
      </c>
      <c r="C779" s="17">
        <f>D779+E779+G779</f>
        <v>2726942.14</v>
      </c>
      <c r="D779" s="17"/>
      <c r="E779" s="17"/>
      <c r="F779" s="17">
        <v>862</v>
      </c>
      <c r="G779" s="17">
        <v>2726942.14</v>
      </c>
      <c r="H779" s="17"/>
      <c r="I779" s="17"/>
      <c r="J779" s="17"/>
      <c r="K779" s="17"/>
      <c r="L779" s="17"/>
      <c r="M779" s="17"/>
      <c r="N779" s="73"/>
      <c r="O779" s="73"/>
      <c r="P779" s="206"/>
    </row>
    <row r="780" spans="1:16" ht="25.5">
      <c r="A780" s="196">
        <v>30</v>
      </c>
      <c r="B780" s="20" t="s">
        <v>709</v>
      </c>
      <c r="C780" s="17">
        <f>D780+E780+G780</f>
        <v>2823704.61</v>
      </c>
      <c r="D780" s="17"/>
      <c r="E780" s="17"/>
      <c r="F780" s="17">
        <v>723</v>
      </c>
      <c r="G780" s="17">
        <v>2823704.61</v>
      </c>
      <c r="H780" s="17"/>
      <c r="I780" s="17"/>
      <c r="J780" s="17"/>
      <c r="K780" s="17"/>
      <c r="L780" s="17"/>
      <c r="M780" s="17"/>
      <c r="N780" s="73"/>
      <c r="O780" s="73"/>
      <c r="P780" s="206"/>
    </row>
    <row r="781" spans="1:16" ht="25.5">
      <c r="A781" s="196">
        <v>31</v>
      </c>
      <c r="B781" s="20" t="s">
        <v>1654</v>
      </c>
      <c r="C781" s="17">
        <f>D781+E781+G781</f>
        <v>2481046.29</v>
      </c>
      <c r="D781" s="17"/>
      <c r="E781" s="17"/>
      <c r="F781" s="17">
        <v>729</v>
      </c>
      <c r="G781" s="17">
        <v>2481046.29</v>
      </c>
      <c r="H781" s="17"/>
      <c r="I781" s="17"/>
      <c r="J781" s="17"/>
      <c r="K781" s="17"/>
      <c r="L781" s="17"/>
      <c r="M781" s="17"/>
      <c r="N781" s="73"/>
      <c r="O781" s="73"/>
      <c r="P781" s="206"/>
    </row>
    <row r="782" spans="1:16" ht="12.75">
      <c r="A782" s="198"/>
      <c r="B782" s="202" t="s">
        <v>380</v>
      </c>
      <c r="C782" s="201">
        <f>SUM(C778:C781)</f>
        <v>11416638.04</v>
      </c>
      <c r="D782" s="201"/>
      <c r="E782" s="201"/>
      <c r="F782" s="201">
        <f>SUM(F778:F781)</f>
        <v>3704</v>
      </c>
      <c r="G782" s="201">
        <f>SUM(G778:G781)</f>
        <v>11416638.04</v>
      </c>
      <c r="H782" s="201"/>
      <c r="I782" s="201"/>
      <c r="J782" s="201"/>
      <c r="K782" s="201"/>
      <c r="L782" s="201"/>
      <c r="M782" s="201"/>
      <c r="N782" s="153"/>
      <c r="O782" s="73"/>
      <c r="P782" s="206"/>
    </row>
    <row r="783" spans="1:16" ht="12.75">
      <c r="A783" s="337" t="s">
        <v>1361</v>
      </c>
      <c r="B783" s="338"/>
      <c r="C783" s="338"/>
      <c r="D783" s="338"/>
      <c r="E783" s="338"/>
      <c r="F783" s="338"/>
      <c r="G783" s="338"/>
      <c r="H783" s="338"/>
      <c r="I783" s="338"/>
      <c r="J783" s="338"/>
      <c r="K783" s="338"/>
      <c r="L783" s="338"/>
      <c r="M783" s="338"/>
      <c r="N783" s="338"/>
      <c r="O783" s="338"/>
      <c r="P783" s="339"/>
    </row>
    <row r="784" spans="1:16" ht="25.5">
      <c r="A784" s="196">
        <v>32</v>
      </c>
      <c r="B784" s="205" t="s">
        <v>565</v>
      </c>
      <c r="C784" s="17">
        <v>790370.45</v>
      </c>
      <c r="D784" s="17">
        <v>790370.45</v>
      </c>
      <c r="E784" s="8"/>
      <c r="F784" s="8"/>
      <c r="G784" s="8"/>
      <c r="H784" s="73"/>
      <c r="I784" s="73"/>
      <c r="J784" s="73"/>
      <c r="K784" s="73"/>
      <c r="L784" s="73"/>
      <c r="M784" s="73"/>
      <c r="N784" s="73"/>
      <c r="O784" s="73"/>
      <c r="P784" s="206"/>
    </row>
    <row r="785" spans="1:16" ht="25.5">
      <c r="A785" s="196">
        <v>33</v>
      </c>
      <c r="B785" s="205" t="s">
        <v>566</v>
      </c>
      <c r="C785" s="17">
        <v>880513.14</v>
      </c>
      <c r="D785" s="17">
        <v>880513.14</v>
      </c>
      <c r="E785" s="8"/>
      <c r="F785" s="8"/>
      <c r="G785" s="8"/>
      <c r="H785" s="73"/>
      <c r="I785" s="73"/>
      <c r="J785" s="73"/>
      <c r="K785" s="73"/>
      <c r="L785" s="73"/>
      <c r="M785" s="73"/>
      <c r="N785" s="73"/>
      <c r="O785" s="73"/>
      <c r="P785" s="206"/>
    </row>
    <row r="786" spans="1:16" ht="25.5">
      <c r="A786" s="196">
        <v>34</v>
      </c>
      <c r="B786" s="205" t="s">
        <v>567</v>
      </c>
      <c r="C786" s="17">
        <v>642608.12</v>
      </c>
      <c r="D786" s="17">
        <v>642608.12</v>
      </c>
      <c r="E786" s="8"/>
      <c r="F786" s="153"/>
      <c r="G786" s="8"/>
      <c r="H786" s="73"/>
      <c r="I786" s="201"/>
      <c r="J786" s="73"/>
      <c r="K786" s="73"/>
      <c r="L786" s="73"/>
      <c r="M786" s="73"/>
      <c r="N786" s="73"/>
      <c r="O786" s="73"/>
      <c r="P786" s="206"/>
    </row>
    <row r="787" spans="1:16" ht="25.5">
      <c r="A787" s="196">
        <v>35</v>
      </c>
      <c r="B787" s="205" t="s">
        <v>568</v>
      </c>
      <c r="C787" s="17">
        <v>1570764.49</v>
      </c>
      <c r="D787" s="17">
        <v>1570764.49</v>
      </c>
      <c r="E787" s="8"/>
      <c r="F787" s="153"/>
      <c r="G787" s="8"/>
      <c r="H787" s="73"/>
      <c r="I787" s="73"/>
      <c r="J787" s="73"/>
      <c r="K787" s="73"/>
      <c r="L787" s="73"/>
      <c r="M787" s="73"/>
      <c r="N787" s="73"/>
      <c r="O787" s="73"/>
      <c r="P787" s="206"/>
    </row>
    <row r="788" spans="1:16" ht="25.5">
      <c r="A788" s="196">
        <v>36</v>
      </c>
      <c r="B788" s="205" t="s">
        <v>328</v>
      </c>
      <c r="C788" s="17">
        <v>283461.36</v>
      </c>
      <c r="D788" s="17">
        <v>283461.36</v>
      </c>
      <c r="E788" s="8"/>
      <c r="F788" s="153"/>
      <c r="G788" s="8"/>
      <c r="H788" s="73"/>
      <c r="I788" s="73"/>
      <c r="J788" s="73"/>
      <c r="K788" s="73"/>
      <c r="L788" s="73"/>
      <c r="M788" s="73"/>
      <c r="N788" s="73"/>
      <c r="O788" s="73"/>
      <c r="P788" s="206"/>
    </row>
    <row r="789" spans="1:16" ht="25.5">
      <c r="A789" s="196">
        <v>37</v>
      </c>
      <c r="B789" s="20" t="s">
        <v>502</v>
      </c>
      <c r="C789" s="17">
        <v>2108383.51</v>
      </c>
      <c r="D789" s="17"/>
      <c r="E789" s="8"/>
      <c r="F789" s="153">
        <v>623.8</v>
      </c>
      <c r="G789" s="17">
        <v>2108383.51</v>
      </c>
      <c r="H789" s="73"/>
      <c r="I789" s="73"/>
      <c r="J789" s="201"/>
      <c r="K789" s="73"/>
      <c r="L789" s="73"/>
      <c r="M789" s="73"/>
      <c r="N789" s="73"/>
      <c r="O789" s="73"/>
      <c r="P789" s="206"/>
    </row>
    <row r="790" spans="1:16" ht="25.5">
      <c r="A790" s="196">
        <v>38</v>
      </c>
      <c r="B790" s="205" t="s">
        <v>329</v>
      </c>
      <c r="C790" s="17">
        <v>1541877.8</v>
      </c>
      <c r="D790" s="17"/>
      <c r="E790" s="17"/>
      <c r="F790" s="17">
        <v>583</v>
      </c>
      <c r="G790" s="17">
        <v>1541877.8</v>
      </c>
      <c r="H790" s="153"/>
      <c r="I790" s="153"/>
      <c r="J790" s="153"/>
      <c r="K790" s="153"/>
      <c r="L790" s="153"/>
      <c r="M790" s="153"/>
      <c r="N790" s="153"/>
      <c r="O790" s="73"/>
      <c r="P790" s="206"/>
    </row>
    <row r="791" spans="1:16" ht="12.75">
      <c r="A791" s="198"/>
      <c r="B791" s="202" t="s">
        <v>380</v>
      </c>
      <c r="C791" s="201">
        <f>SUM(C784:C790)</f>
        <v>7817978.87</v>
      </c>
      <c r="D791" s="201">
        <f>SUM(D784:D790)</f>
        <v>4167717.56</v>
      </c>
      <c r="E791" s="201"/>
      <c r="F791" s="201">
        <f>SUM(F784:F790)</f>
        <v>1206.8</v>
      </c>
      <c r="G791" s="201">
        <f>SUM(G784:G790)</f>
        <v>3650261.3099999996</v>
      </c>
      <c r="H791" s="153"/>
      <c r="I791" s="153"/>
      <c r="J791" s="153"/>
      <c r="K791" s="153"/>
      <c r="L791" s="153"/>
      <c r="M791" s="153"/>
      <c r="N791" s="153"/>
      <c r="O791" s="73"/>
      <c r="P791" s="206"/>
    </row>
    <row r="792" spans="1:16" ht="12.75">
      <c r="A792" s="337" t="s">
        <v>1363</v>
      </c>
      <c r="B792" s="338"/>
      <c r="C792" s="338"/>
      <c r="D792" s="338"/>
      <c r="E792" s="338"/>
      <c r="F792" s="338"/>
      <c r="G792" s="338"/>
      <c r="H792" s="338"/>
      <c r="I792" s="338"/>
      <c r="J792" s="338"/>
      <c r="K792" s="338"/>
      <c r="L792" s="338"/>
      <c r="M792" s="338"/>
      <c r="N792" s="338"/>
      <c r="O792" s="338"/>
      <c r="P792" s="339"/>
    </row>
    <row r="793" spans="1:16" ht="25.5">
      <c r="A793" s="196">
        <v>39</v>
      </c>
      <c r="B793" s="205" t="s">
        <v>346</v>
      </c>
      <c r="C793" s="17">
        <f>D793+E793+G793</f>
        <v>2861338.39</v>
      </c>
      <c r="D793" s="17"/>
      <c r="E793" s="17"/>
      <c r="F793" s="17">
        <v>1061.42</v>
      </c>
      <c r="G793" s="17">
        <v>2861338.39</v>
      </c>
      <c r="H793" s="153"/>
      <c r="I793" s="153"/>
      <c r="J793" s="153"/>
      <c r="K793" s="153"/>
      <c r="L793" s="153"/>
      <c r="M793" s="153"/>
      <c r="N793" s="153"/>
      <c r="O793" s="153"/>
      <c r="P793" s="206"/>
    </row>
    <row r="794" spans="1:16" ht="12.75">
      <c r="A794" s="198"/>
      <c r="B794" s="202" t="s">
        <v>380</v>
      </c>
      <c r="C794" s="201">
        <f>SUM(C793:C793)</f>
        <v>2861338.39</v>
      </c>
      <c r="D794" s="201"/>
      <c r="E794" s="201"/>
      <c r="F794" s="201">
        <f>SUM(F793:F793)</f>
        <v>1061.42</v>
      </c>
      <c r="G794" s="201">
        <f>SUM(G793:G793)</f>
        <v>2861338.39</v>
      </c>
      <c r="H794" s="153"/>
      <c r="I794" s="153"/>
      <c r="J794" s="153"/>
      <c r="K794" s="153"/>
      <c r="L794" s="153"/>
      <c r="M794" s="153"/>
      <c r="N794" s="153"/>
      <c r="O794" s="153"/>
      <c r="P794" s="206"/>
    </row>
    <row r="795" spans="1:16" ht="12.75">
      <c r="A795" s="337" t="s">
        <v>375</v>
      </c>
      <c r="B795" s="338"/>
      <c r="C795" s="338"/>
      <c r="D795" s="338"/>
      <c r="E795" s="338"/>
      <c r="F795" s="338"/>
      <c r="G795" s="338"/>
      <c r="H795" s="338"/>
      <c r="I795" s="338"/>
      <c r="J795" s="338"/>
      <c r="K795" s="338"/>
      <c r="L795" s="338"/>
      <c r="M795" s="338"/>
      <c r="N795" s="338"/>
      <c r="O795" s="338"/>
      <c r="P795" s="339"/>
    </row>
    <row r="796" spans="1:16" ht="25.5">
      <c r="A796" s="196">
        <v>40</v>
      </c>
      <c r="B796" s="205" t="s">
        <v>347</v>
      </c>
      <c r="C796" s="246">
        <f>D796+E796+G796</f>
        <v>246798</v>
      </c>
      <c r="D796" s="246">
        <v>246798</v>
      </c>
      <c r="E796" s="17"/>
      <c r="F796" s="17"/>
      <c r="G796" s="17"/>
      <c r="H796" s="73"/>
      <c r="I796" s="73"/>
      <c r="J796" s="73"/>
      <c r="K796" s="73"/>
      <c r="L796" s="73"/>
      <c r="M796" s="73"/>
      <c r="N796" s="73"/>
      <c r="O796" s="73"/>
      <c r="P796" s="206"/>
    </row>
    <row r="797" spans="1:16" ht="25.5">
      <c r="A797" s="196">
        <v>41</v>
      </c>
      <c r="B797" s="205" t="s">
        <v>348</v>
      </c>
      <c r="C797" s="246">
        <f>D797+E797+G797</f>
        <v>7538053</v>
      </c>
      <c r="D797" s="17">
        <v>2960255</v>
      </c>
      <c r="E797" s="17"/>
      <c r="F797" s="17">
        <v>1385</v>
      </c>
      <c r="G797" s="17">
        <v>4577798</v>
      </c>
      <c r="H797" s="201"/>
      <c r="I797" s="207"/>
      <c r="J797" s="207"/>
      <c r="K797" s="201"/>
      <c r="L797" s="73"/>
      <c r="M797" s="73"/>
      <c r="N797" s="73"/>
      <c r="O797" s="73"/>
      <c r="P797" s="206"/>
    </row>
    <row r="798" spans="1:16" ht="12.75">
      <c r="A798" s="198"/>
      <c r="B798" s="202" t="s">
        <v>380</v>
      </c>
      <c r="C798" s="201">
        <f>SUM(C796:C797)</f>
        <v>7784851</v>
      </c>
      <c r="D798" s="201">
        <f>SUM(D796:D797)</f>
        <v>3207053</v>
      </c>
      <c r="E798" s="201"/>
      <c r="F798" s="201">
        <f>SUM(F796:F797)</f>
        <v>1385</v>
      </c>
      <c r="G798" s="201">
        <f>SUM(G796:G797)</f>
        <v>4577798</v>
      </c>
      <c r="H798" s="153"/>
      <c r="I798" s="153"/>
      <c r="J798" s="153"/>
      <c r="K798" s="153"/>
      <c r="L798" s="153"/>
      <c r="M798" s="153"/>
      <c r="N798" s="153"/>
      <c r="O798" s="73"/>
      <c r="P798" s="206"/>
    </row>
    <row r="799" spans="1:16" ht="12.75">
      <c r="A799" s="337" t="s">
        <v>382</v>
      </c>
      <c r="B799" s="338"/>
      <c r="C799" s="338"/>
      <c r="D799" s="338"/>
      <c r="E799" s="338"/>
      <c r="F799" s="338"/>
      <c r="G799" s="338"/>
      <c r="H799" s="338"/>
      <c r="I799" s="338"/>
      <c r="J799" s="338"/>
      <c r="K799" s="338"/>
      <c r="L799" s="338"/>
      <c r="M799" s="338"/>
      <c r="N799" s="338"/>
      <c r="O799" s="338"/>
      <c r="P799" s="339"/>
    </row>
    <row r="800" spans="1:16" ht="25.5">
      <c r="A800" s="196">
        <v>42</v>
      </c>
      <c r="B800" s="205" t="s">
        <v>1057</v>
      </c>
      <c r="C800" s="17">
        <f>D800+E800+G800+I800+K800</f>
        <v>359956.22</v>
      </c>
      <c r="D800" s="17">
        <v>359956.22</v>
      </c>
      <c r="E800" s="17"/>
      <c r="F800" s="17"/>
      <c r="G800" s="17"/>
      <c r="H800" s="153"/>
      <c r="I800" s="153"/>
      <c r="J800" s="153"/>
      <c r="K800" s="153"/>
      <c r="L800" s="153"/>
      <c r="M800" s="153"/>
      <c r="N800" s="153"/>
      <c r="O800" s="153"/>
      <c r="P800" s="206"/>
    </row>
    <row r="801" spans="1:16" ht="25.5">
      <c r="A801" s="196">
        <v>43</v>
      </c>
      <c r="B801" s="205" t="s">
        <v>349</v>
      </c>
      <c r="C801" s="17">
        <f aca="true" t="shared" si="33" ref="C801:C816">D801+E801+G801+I801+K801</f>
        <v>2222023.6399999997</v>
      </c>
      <c r="D801" s="17">
        <v>335946.22</v>
      </c>
      <c r="E801" s="17"/>
      <c r="F801" s="17">
        <v>751</v>
      </c>
      <c r="G801" s="17">
        <v>1886077.42</v>
      </c>
      <c r="H801" s="153"/>
      <c r="I801" s="153"/>
      <c r="J801" s="153"/>
      <c r="K801" s="153"/>
      <c r="L801" s="153"/>
      <c r="M801" s="153"/>
      <c r="N801" s="153"/>
      <c r="O801" s="153"/>
      <c r="P801" s="206"/>
    </row>
    <row r="802" spans="1:16" ht="25.5">
      <c r="A802" s="196">
        <v>44</v>
      </c>
      <c r="B802" s="205" t="s">
        <v>1335</v>
      </c>
      <c r="C802" s="17">
        <f t="shared" si="33"/>
        <v>2804061.12</v>
      </c>
      <c r="D802" s="17">
        <v>354086.97</v>
      </c>
      <c r="E802" s="17"/>
      <c r="F802" s="17">
        <v>858.45</v>
      </c>
      <c r="G802" s="17">
        <v>2449974.15</v>
      </c>
      <c r="H802" s="153"/>
      <c r="I802" s="153"/>
      <c r="J802" s="153"/>
      <c r="K802" s="153"/>
      <c r="L802" s="153"/>
      <c r="M802" s="153"/>
      <c r="N802" s="153"/>
      <c r="O802" s="153"/>
      <c r="P802" s="206"/>
    </row>
    <row r="803" spans="1:16" ht="25.5">
      <c r="A803" s="196">
        <v>45</v>
      </c>
      <c r="B803" s="205" t="s">
        <v>1022</v>
      </c>
      <c r="C803" s="17">
        <f t="shared" si="33"/>
        <v>523771.25</v>
      </c>
      <c r="D803" s="17">
        <v>523771.25</v>
      </c>
      <c r="E803" s="17"/>
      <c r="F803" s="17"/>
      <c r="G803" s="17"/>
      <c r="H803" s="153"/>
      <c r="I803" s="153"/>
      <c r="J803" s="153"/>
      <c r="K803" s="153"/>
      <c r="L803" s="153"/>
      <c r="M803" s="153"/>
      <c r="N803" s="153"/>
      <c r="O803" s="153"/>
      <c r="P803" s="206"/>
    </row>
    <row r="804" spans="1:16" ht="12.75">
      <c r="A804" s="196">
        <v>46</v>
      </c>
      <c r="B804" s="205" t="s">
        <v>1068</v>
      </c>
      <c r="C804" s="17">
        <f t="shared" si="33"/>
        <v>1613345.46</v>
      </c>
      <c r="D804" s="17">
        <v>364652.65</v>
      </c>
      <c r="E804" s="17"/>
      <c r="F804" s="17"/>
      <c r="G804" s="17"/>
      <c r="H804" s="153"/>
      <c r="I804" s="153"/>
      <c r="J804" s="153">
        <v>332</v>
      </c>
      <c r="K804" s="153">
        <v>1248692.81</v>
      </c>
      <c r="L804" s="153"/>
      <c r="M804" s="153"/>
      <c r="N804" s="153"/>
      <c r="O804" s="153"/>
      <c r="P804" s="206"/>
    </row>
    <row r="805" spans="1:16" ht="25.5">
      <c r="A805" s="196">
        <v>47</v>
      </c>
      <c r="B805" s="205" t="s">
        <v>1023</v>
      </c>
      <c r="C805" s="17">
        <f t="shared" si="33"/>
        <v>2393681.1100000003</v>
      </c>
      <c r="D805" s="17">
        <v>404376.78</v>
      </c>
      <c r="E805" s="17"/>
      <c r="F805" s="17"/>
      <c r="G805" s="17"/>
      <c r="H805" s="153"/>
      <c r="I805" s="153"/>
      <c r="J805" s="153">
        <v>455.7</v>
      </c>
      <c r="K805" s="153">
        <v>1989304.33</v>
      </c>
      <c r="L805" s="153"/>
      <c r="M805" s="153"/>
      <c r="N805" s="153"/>
      <c r="O805" s="153"/>
      <c r="P805" s="206"/>
    </row>
    <row r="806" spans="1:16" ht="25.5">
      <c r="A806" s="196">
        <v>48</v>
      </c>
      <c r="B806" s="205" t="s">
        <v>1024</v>
      </c>
      <c r="C806" s="17">
        <f t="shared" si="33"/>
        <v>1880737.18</v>
      </c>
      <c r="D806" s="17"/>
      <c r="E806" s="17"/>
      <c r="F806" s="17">
        <v>615.7</v>
      </c>
      <c r="G806" s="17">
        <v>1880737.18</v>
      </c>
      <c r="H806" s="153"/>
      <c r="I806" s="153"/>
      <c r="J806" s="153"/>
      <c r="K806" s="153"/>
      <c r="L806" s="153"/>
      <c r="M806" s="153"/>
      <c r="N806" s="153"/>
      <c r="O806" s="153"/>
      <c r="P806" s="206"/>
    </row>
    <row r="807" spans="1:16" ht="25.5">
      <c r="A807" s="196">
        <v>49</v>
      </c>
      <c r="B807" s="205" t="s">
        <v>1025</v>
      </c>
      <c r="C807" s="17">
        <f t="shared" si="33"/>
        <v>2102817.9</v>
      </c>
      <c r="D807" s="17"/>
      <c r="E807" s="17"/>
      <c r="F807" s="17">
        <v>623</v>
      </c>
      <c r="G807" s="17">
        <v>2102817.9</v>
      </c>
      <c r="H807" s="153"/>
      <c r="I807" s="153"/>
      <c r="J807" s="153"/>
      <c r="K807" s="153"/>
      <c r="L807" s="153"/>
      <c r="M807" s="153"/>
      <c r="N807" s="153"/>
      <c r="O807" s="153"/>
      <c r="P807" s="206"/>
    </row>
    <row r="808" spans="1:16" ht="25.5">
      <c r="A808" s="196">
        <v>50</v>
      </c>
      <c r="B808" s="205" t="s">
        <v>1026</v>
      </c>
      <c r="C808" s="17">
        <f t="shared" si="33"/>
        <v>479303.53</v>
      </c>
      <c r="D808" s="17">
        <v>479303.53</v>
      </c>
      <c r="E808" s="17"/>
      <c r="F808" s="17"/>
      <c r="G808" s="17"/>
      <c r="H808" s="153"/>
      <c r="I808" s="153"/>
      <c r="J808" s="153"/>
      <c r="K808" s="153"/>
      <c r="L808" s="153"/>
      <c r="M808" s="153"/>
      <c r="N808" s="153"/>
      <c r="O808" s="153"/>
      <c r="P808" s="206"/>
    </row>
    <row r="809" spans="1:16" ht="26.25" customHeight="1">
      <c r="A809" s="196">
        <v>51</v>
      </c>
      <c r="B809" s="205" t="s">
        <v>350</v>
      </c>
      <c r="C809" s="17">
        <f t="shared" si="33"/>
        <v>2079217.8299999998</v>
      </c>
      <c r="D809" s="17">
        <v>327926.18</v>
      </c>
      <c r="E809" s="17"/>
      <c r="F809" s="17">
        <v>520</v>
      </c>
      <c r="G809" s="17">
        <v>1751291.65</v>
      </c>
      <c r="H809" s="153"/>
      <c r="I809" s="153"/>
      <c r="J809" s="153"/>
      <c r="K809" s="153"/>
      <c r="L809" s="153"/>
      <c r="M809" s="153"/>
      <c r="N809" s="153"/>
      <c r="O809" s="153"/>
      <c r="P809" s="206"/>
    </row>
    <row r="810" spans="1:16" ht="26.25" customHeight="1">
      <c r="A810" s="196">
        <v>52</v>
      </c>
      <c r="B810" s="205" t="s">
        <v>167</v>
      </c>
      <c r="C810" s="17">
        <f t="shared" si="33"/>
        <v>366404.82</v>
      </c>
      <c r="D810" s="17">
        <v>366404.82</v>
      </c>
      <c r="E810" s="17"/>
      <c r="F810" s="17"/>
      <c r="G810" s="17"/>
      <c r="H810" s="153"/>
      <c r="I810" s="153"/>
      <c r="J810" s="153"/>
      <c r="K810" s="153"/>
      <c r="L810" s="153"/>
      <c r="M810" s="153"/>
      <c r="N810" s="153"/>
      <c r="O810" s="153"/>
      <c r="P810" s="206"/>
    </row>
    <row r="811" spans="1:16" ht="25.5" customHeight="1">
      <c r="A811" s="196">
        <v>53</v>
      </c>
      <c r="B811" s="205" t="s">
        <v>168</v>
      </c>
      <c r="C811" s="17">
        <f t="shared" si="33"/>
        <v>512705.95</v>
      </c>
      <c r="D811" s="17">
        <v>512705.95</v>
      </c>
      <c r="E811" s="17"/>
      <c r="F811" s="17"/>
      <c r="G811" s="17"/>
      <c r="H811" s="153"/>
      <c r="I811" s="153"/>
      <c r="J811" s="153"/>
      <c r="K811" s="153"/>
      <c r="L811" s="153"/>
      <c r="M811" s="153"/>
      <c r="N811" s="153"/>
      <c r="O811" s="153"/>
      <c r="P811" s="206"/>
    </row>
    <row r="812" spans="1:16" ht="28.5" customHeight="1">
      <c r="A812" s="196">
        <v>54</v>
      </c>
      <c r="B812" s="205" t="s">
        <v>351</v>
      </c>
      <c r="C812" s="17">
        <f t="shared" si="33"/>
        <v>518008.03</v>
      </c>
      <c r="D812" s="17">
        <v>518008.03</v>
      </c>
      <c r="E812" s="17"/>
      <c r="F812" s="17"/>
      <c r="G812" s="17"/>
      <c r="H812" s="153"/>
      <c r="I812" s="153"/>
      <c r="J812" s="153"/>
      <c r="K812" s="153"/>
      <c r="L812" s="153"/>
      <c r="M812" s="153"/>
      <c r="N812" s="153"/>
      <c r="O812" s="153"/>
      <c r="P812" s="206"/>
    </row>
    <row r="813" spans="1:16" ht="25.5">
      <c r="A813" s="196">
        <v>55</v>
      </c>
      <c r="B813" s="205" t="s">
        <v>1027</v>
      </c>
      <c r="C813" s="17">
        <f t="shared" si="33"/>
        <v>1442525.49</v>
      </c>
      <c r="D813" s="17">
        <v>113037.27</v>
      </c>
      <c r="E813" s="17"/>
      <c r="F813" s="17">
        <v>410</v>
      </c>
      <c r="G813" s="17">
        <v>1329488.22</v>
      </c>
      <c r="H813" s="153"/>
      <c r="I813" s="153"/>
      <c r="J813" s="153"/>
      <c r="K813" s="153"/>
      <c r="L813" s="153"/>
      <c r="M813" s="153"/>
      <c r="N813" s="153"/>
      <c r="O813" s="153"/>
      <c r="P813" s="206"/>
    </row>
    <row r="814" spans="1:16" ht="25.5">
      <c r="A814" s="196">
        <v>56</v>
      </c>
      <c r="B814" s="205" t="s">
        <v>1028</v>
      </c>
      <c r="C814" s="17">
        <f t="shared" si="33"/>
        <v>228339.68</v>
      </c>
      <c r="D814" s="17">
        <v>228339.68</v>
      </c>
      <c r="E814" s="17"/>
      <c r="F814" s="17"/>
      <c r="G814" s="17"/>
      <c r="H814" s="153"/>
      <c r="I814" s="153"/>
      <c r="J814" s="153"/>
      <c r="K814" s="153"/>
      <c r="L814" s="153"/>
      <c r="M814" s="153"/>
      <c r="N814" s="153"/>
      <c r="O814" s="153"/>
      <c r="P814" s="206"/>
    </row>
    <row r="815" spans="1:16" ht="25.5">
      <c r="A815" s="196">
        <v>57</v>
      </c>
      <c r="B815" s="205" t="s">
        <v>1029</v>
      </c>
      <c r="C815" s="17">
        <f t="shared" si="33"/>
        <v>1636847.67</v>
      </c>
      <c r="D815" s="17"/>
      <c r="E815" s="17"/>
      <c r="F815" s="17">
        <v>487</v>
      </c>
      <c r="G815" s="17">
        <v>1636847.67</v>
      </c>
      <c r="H815" s="153"/>
      <c r="I815" s="153"/>
      <c r="J815" s="153"/>
      <c r="K815" s="153"/>
      <c r="L815" s="153"/>
      <c r="M815" s="153"/>
      <c r="N815" s="153"/>
      <c r="O815" s="153"/>
      <c r="P815" s="206"/>
    </row>
    <row r="816" spans="1:16" ht="25.5">
      <c r="A816" s="196">
        <v>58</v>
      </c>
      <c r="B816" s="205" t="s">
        <v>1030</v>
      </c>
      <c r="C816" s="17">
        <f t="shared" si="33"/>
        <v>2043928.15</v>
      </c>
      <c r="D816" s="17"/>
      <c r="E816" s="17"/>
      <c r="F816" s="17">
        <v>614</v>
      </c>
      <c r="G816" s="17">
        <v>2043928.15</v>
      </c>
      <c r="H816" s="153"/>
      <c r="I816" s="153"/>
      <c r="J816" s="153"/>
      <c r="K816" s="153"/>
      <c r="L816" s="153"/>
      <c r="M816" s="153"/>
      <c r="N816" s="153"/>
      <c r="O816" s="153"/>
      <c r="P816" s="206"/>
    </row>
    <row r="817" spans="1:16" ht="12.75">
      <c r="A817" s="198"/>
      <c r="B817" s="202" t="s">
        <v>380</v>
      </c>
      <c r="C817" s="201">
        <f>SUM(C800:C816)</f>
        <v>23207675.029999994</v>
      </c>
      <c r="D817" s="201">
        <f aca="true" t="shared" si="34" ref="D817:K817">SUM(D800:D816)</f>
        <v>4888515.55</v>
      </c>
      <c r="E817" s="201"/>
      <c r="F817" s="201">
        <f t="shared" si="34"/>
        <v>4879.15</v>
      </c>
      <c r="G817" s="201">
        <f t="shared" si="34"/>
        <v>15081162.340000002</v>
      </c>
      <c r="H817" s="201"/>
      <c r="I817" s="201"/>
      <c r="J817" s="201">
        <f t="shared" si="34"/>
        <v>787.7</v>
      </c>
      <c r="K817" s="201">
        <f t="shared" si="34"/>
        <v>3237997.14</v>
      </c>
      <c r="L817" s="153"/>
      <c r="M817" s="153"/>
      <c r="N817" s="153"/>
      <c r="O817" s="153"/>
      <c r="P817" s="206"/>
    </row>
    <row r="818" spans="1:16" ht="12.75">
      <c r="A818" s="337" t="s">
        <v>1377</v>
      </c>
      <c r="B818" s="338"/>
      <c r="C818" s="338"/>
      <c r="D818" s="338"/>
      <c r="E818" s="338"/>
      <c r="F818" s="338"/>
      <c r="G818" s="338"/>
      <c r="H818" s="338"/>
      <c r="I818" s="338"/>
      <c r="J818" s="338"/>
      <c r="K818" s="338"/>
      <c r="L818" s="338"/>
      <c r="M818" s="338"/>
      <c r="N818" s="338"/>
      <c r="O818" s="338"/>
      <c r="P818" s="339"/>
    </row>
    <row r="819" spans="1:16" ht="25.5">
      <c r="A819" s="196">
        <v>59</v>
      </c>
      <c r="B819" s="205" t="s">
        <v>1031</v>
      </c>
      <c r="C819" s="17">
        <f>D819+E819+G819+I819+K819+M819++O819</f>
        <v>1787243.14</v>
      </c>
      <c r="D819" s="17"/>
      <c r="E819" s="17"/>
      <c r="F819" s="17">
        <v>961</v>
      </c>
      <c r="G819" s="17">
        <v>1787243.14</v>
      </c>
      <c r="H819" s="153"/>
      <c r="I819" s="153"/>
      <c r="J819" s="153"/>
      <c r="K819" s="153"/>
      <c r="L819" s="153"/>
      <c r="M819" s="153"/>
      <c r="N819" s="153"/>
      <c r="O819" s="153"/>
      <c r="P819" s="206"/>
    </row>
    <row r="820" spans="1:16" ht="38.25">
      <c r="A820" s="196">
        <v>60</v>
      </c>
      <c r="B820" s="205" t="s">
        <v>1032</v>
      </c>
      <c r="C820" s="17">
        <f aca="true" t="shared" si="35" ref="C820:C836">D820+E820+G820+I820+K820+M820++O820</f>
        <v>454255.59</v>
      </c>
      <c r="D820" s="17">
        <v>454255.59</v>
      </c>
      <c r="E820" s="17"/>
      <c r="F820" s="17"/>
      <c r="G820" s="17"/>
      <c r="H820" s="153"/>
      <c r="I820" s="153"/>
      <c r="J820" s="153"/>
      <c r="K820" s="153"/>
      <c r="L820" s="153"/>
      <c r="M820" s="153"/>
      <c r="N820" s="153"/>
      <c r="O820" s="153"/>
      <c r="P820" s="206"/>
    </row>
    <row r="821" spans="1:16" ht="25.5">
      <c r="A821" s="196">
        <v>61</v>
      </c>
      <c r="B821" s="205" t="s">
        <v>1033</v>
      </c>
      <c r="C821" s="17">
        <f t="shared" si="35"/>
        <v>257956.74</v>
      </c>
      <c r="D821" s="17">
        <v>257956.74</v>
      </c>
      <c r="E821" s="17"/>
      <c r="F821" s="17"/>
      <c r="G821" s="17"/>
      <c r="H821" s="153"/>
      <c r="I821" s="153"/>
      <c r="J821" s="153"/>
      <c r="K821" s="153"/>
      <c r="L821" s="153"/>
      <c r="M821" s="153"/>
      <c r="N821" s="153"/>
      <c r="O821" s="153"/>
      <c r="P821" s="206"/>
    </row>
    <row r="822" spans="1:16" ht="25.5">
      <c r="A822" s="196">
        <v>62</v>
      </c>
      <c r="B822" s="205" t="s">
        <v>696</v>
      </c>
      <c r="C822" s="17">
        <f t="shared" si="35"/>
        <v>569426.98</v>
      </c>
      <c r="D822" s="17">
        <v>569426.98</v>
      </c>
      <c r="E822" s="17"/>
      <c r="F822" s="17"/>
      <c r="G822" s="17"/>
      <c r="H822" s="153"/>
      <c r="I822" s="153"/>
      <c r="J822" s="153"/>
      <c r="K822" s="153"/>
      <c r="L822" s="153"/>
      <c r="M822" s="153"/>
      <c r="N822" s="153"/>
      <c r="O822" s="153"/>
      <c r="P822" s="206"/>
    </row>
    <row r="823" spans="1:16" ht="25.5">
      <c r="A823" s="196">
        <v>63</v>
      </c>
      <c r="B823" s="205" t="s">
        <v>1034</v>
      </c>
      <c r="C823" s="17">
        <f t="shared" si="35"/>
        <v>1284583.54</v>
      </c>
      <c r="D823" s="17">
        <v>1102240.81</v>
      </c>
      <c r="E823" s="17">
        <v>182342.73</v>
      </c>
      <c r="F823" s="17"/>
      <c r="G823" s="17"/>
      <c r="H823" s="153"/>
      <c r="I823" s="153"/>
      <c r="J823" s="153"/>
      <c r="K823" s="153"/>
      <c r="L823" s="153"/>
      <c r="M823" s="153"/>
      <c r="N823" s="153"/>
      <c r="O823" s="153"/>
      <c r="P823" s="206"/>
    </row>
    <row r="824" spans="1:16" ht="25.5">
      <c r="A824" s="196">
        <v>64</v>
      </c>
      <c r="B824" s="205" t="s">
        <v>1092</v>
      </c>
      <c r="C824" s="17">
        <f t="shared" si="35"/>
        <v>475356.14</v>
      </c>
      <c r="D824" s="17">
        <v>475356.14</v>
      </c>
      <c r="E824" s="17"/>
      <c r="F824" s="17"/>
      <c r="G824" s="17"/>
      <c r="H824" s="153"/>
      <c r="I824" s="153"/>
      <c r="J824" s="153"/>
      <c r="K824" s="153"/>
      <c r="L824" s="153"/>
      <c r="M824" s="153"/>
      <c r="N824" s="153"/>
      <c r="O824" s="153"/>
      <c r="P824" s="206"/>
    </row>
    <row r="825" spans="1:16" ht="25.5">
      <c r="A825" s="196">
        <v>65</v>
      </c>
      <c r="B825" s="205" t="s">
        <v>1093</v>
      </c>
      <c r="C825" s="17">
        <f t="shared" si="35"/>
        <v>512944.54</v>
      </c>
      <c r="D825" s="17">
        <v>512944.54</v>
      </c>
      <c r="E825" s="17"/>
      <c r="F825" s="17"/>
      <c r="G825" s="17"/>
      <c r="H825" s="153"/>
      <c r="I825" s="153"/>
      <c r="J825" s="153"/>
      <c r="K825" s="153"/>
      <c r="L825" s="153"/>
      <c r="M825" s="153"/>
      <c r="N825" s="153"/>
      <c r="O825" s="153"/>
      <c r="P825" s="206"/>
    </row>
    <row r="826" spans="1:16" ht="25.5">
      <c r="A826" s="196">
        <v>66</v>
      </c>
      <c r="B826" s="205" t="s">
        <v>1094</v>
      </c>
      <c r="C826" s="17">
        <f t="shared" si="35"/>
        <v>560512.48</v>
      </c>
      <c r="D826" s="17">
        <v>560512.48</v>
      </c>
      <c r="E826" s="17"/>
      <c r="F826" s="17"/>
      <c r="G826" s="17"/>
      <c r="H826" s="153"/>
      <c r="I826" s="153"/>
      <c r="J826" s="153"/>
      <c r="K826" s="153"/>
      <c r="L826" s="153"/>
      <c r="M826" s="153"/>
      <c r="N826" s="153"/>
      <c r="O826" s="153"/>
      <c r="P826" s="206"/>
    </row>
    <row r="827" spans="1:16" ht="25.5">
      <c r="A827" s="196">
        <v>67</v>
      </c>
      <c r="B827" s="205" t="s">
        <v>1095</v>
      </c>
      <c r="C827" s="17">
        <f t="shared" si="35"/>
        <v>463649.55</v>
      </c>
      <c r="D827" s="17">
        <v>463649.55</v>
      </c>
      <c r="E827" s="17"/>
      <c r="F827" s="17"/>
      <c r="G827" s="17"/>
      <c r="H827" s="153"/>
      <c r="I827" s="153"/>
      <c r="J827" s="153"/>
      <c r="K827" s="153"/>
      <c r="L827" s="153"/>
      <c r="M827" s="153"/>
      <c r="N827" s="153"/>
      <c r="O827" s="153"/>
      <c r="P827" s="206"/>
    </row>
    <row r="828" spans="1:16" ht="25.5">
      <c r="A828" s="196">
        <v>68</v>
      </c>
      <c r="B828" s="205" t="s">
        <v>1096</v>
      </c>
      <c r="C828" s="17">
        <f t="shared" si="35"/>
        <v>514558.53</v>
      </c>
      <c r="D828" s="17">
        <v>514558.53</v>
      </c>
      <c r="E828" s="17"/>
      <c r="F828" s="17"/>
      <c r="G828" s="17"/>
      <c r="H828" s="153"/>
      <c r="I828" s="153"/>
      <c r="J828" s="153"/>
      <c r="K828" s="153"/>
      <c r="L828" s="153"/>
      <c r="M828" s="153"/>
      <c r="N828" s="153"/>
      <c r="O828" s="153"/>
      <c r="P828" s="206"/>
    </row>
    <row r="829" spans="1:16" ht="25.5">
      <c r="A829" s="196">
        <v>69</v>
      </c>
      <c r="B829" s="205" t="s">
        <v>1097</v>
      </c>
      <c r="C829" s="17">
        <f t="shared" si="35"/>
        <v>1727032.92</v>
      </c>
      <c r="D829" s="17">
        <v>1546784.42</v>
      </c>
      <c r="E829" s="17">
        <v>180248.5</v>
      </c>
      <c r="F829" s="17"/>
      <c r="G829" s="17"/>
      <c r="H829" s="153"/>
      <c r="I829" s="153"/>
      <c r="J829" s="153"/>
      <c r="K829" s="153"/>
      <c r="L829" s="153"/>
      <c r="M829" s="153"/>
      <c r="N829" s="153"/>
      <c r="O829" s="153"/>
      <c r="P829" s="206"/>
    </row>
    <row r="830" spans="1:16" ht="25.5">
      <c r="A830" s="196">
        <v>70</v>
      </c>
      <c r="B830" s="205" t="s">
        <v>1098</v>
      </c>
      <c r="C830" s="17">
        <f t="shared" si="35"/>
        <v>389618.5</v>
      </c>
      <c r="D830" s="17">
        <v>389618.5</v>
      </c>
      <c r="E830" s="17"/>
      <c r="F830" s="17"/>
      <c r="G830" s="17"/>
      <c r="H830" s="153"/>
      <c r="I830" s="153"/>
      <c r="J830" s="153"/>
      <c r="K830" s="153"/>
      <c r="L830" s="153"/>
      <c r="M830" s="153"/>
      <c r="N830" s="153"/>
      <c r="O830" s="153"/>
      <c r="P830" s="206"/>
    </row>
    <row r="831" spans="1:16" ht="25.5">
      <c r="A831" s="196">
        <v>71</v>
      </c>
      <c r="B831" s="20" t="s">
        <v>353</v>
      </c>
      <c r="C831" s="17">
        <f t="shared" si="35"/>
        <v>297421.11</v>
      </c>
      <c r="D831" s="17">
        <v>297421.11</v>
      </c>
      <c r="E831" s="17"/>
      <c r="F831" s="17"/>
      <c r="G831" s="17"/>
      <c r="H831" s="153"/>
      <c r="I831" s="153"/>
      <c r="J831" s="153"/>
      <c r="K831" s="153"/>
      <c r="L831" s="153"/>
      <c r="M831" s="153"/>
      <c r="N831" s="153"/>
      <c r="O831" s="153"/>
      <c r="P831" s="206"/>
    </row>
    <row r="832" spans="1:16" ht="25.5">
      <c r="A832" s="196">
        <v>72</v>
      </c>
      <c r="B832" s="205" t="s">
        <v>1099</v>
      </c>
      <c r="C832" s="17">
        <f t="shared" si="35"/>
        <v>1213568.47</v>
      </c>
      <c r="D832" s="17"/>
      <c r="E832" s="17"/>
      <c r="F832" s="17">
        <v>710</v>
      </c>
      <c r="G832" s="17">
        <v>1213568.47</v>
      </c>
      <c r="H832" s="153"/>
      <c r="I832" s="153"/>
      <c r="J832" s="153"/>
      <c r="K832" s="153"/>
      <c r="L832" s="153"/>
      <c r="M832" s="153"/>
      <c r="N832" s="153"/>
      <c r="O832" s="153"/>
      <c r="P832" s="206"/>
    </row>
    <row r="833" spans="1:16" ht="25.5">
      <c r="A833" s="196">
        <v>73</v>
      </c>
      <c r="B833" s="20" t="s">
        <v>354</v>
      </c>
      <c r="C833" s="17">
        <f t="shared" si="35"/>
        <v>1020661.35</v>
      </c>
      <c r="D833" s="17"/>
      <c r="E833" s="17"/>
      <c r="F833" s="17">
        <v>492.2</v>
      </c>
      <c r="G833" s="17">
        <v>1020661.35</v>
      </c>
      <c r="H833" s="153"/>
      <c r="I833" s="153"/>
      <c r="J833" s="153"/>
      <c r="K833" s="153"/>
      <c r="L833" s="153"/>
      <c r="M833" s="153"/>
      <c r="N833" s="153"/>
      <c r="O833" s="153"/>
      <c r="P833" s="206"/>
    </row>
    <row r="834" spans="1:16" ht="25.5">
      <c r="A834" s="196">
        <v>74</v>
      </c>
      <c r="B834" s="205" t="s">
        <v>729</v>
      </c>
      <c r="C834" s="17">
        <f t="shared" si="35"/>
        <v>611403.24</v>
      </c>
      <c r="D834" s="17">
        <v>611403.24</v>
      </c>
      <c r="E834" s="17"/>
      <c r="F834" s="17"/>
      <c r="G834" s="17"/>
      <c r="H834" s="153"/>
      <c r="I834" s="153"/>
      <c r="J834" s="153"/>
      <c r="K834" s="153"/>
      <c r="L834" s="153"/>
      <c r="M834" s="153"/>
      <c r="N834" s="153"/>
      <c r="O834" s="153"/>
      <c r="P834" s="206"/>
    </row>
    <row r="835" spans="1:16" ht="25.5">
      <c r="A835" s="196">
        <v>75</v>
      </c>
      <c r="B835" s="205" t="s">
        <v>730</v>
      </c>
      <c r="C835" s="17">
        <f t="shared" si="35"/>
        <v>606258.92</v>
      </c>
      <c r="D835" s="17">
        <v>606258.92</v>
      </c>
      <c r="E835" s="17"/>
      <c r="F835" s="17"/>
      <c r="G835" s="17"/>
      <c r="H835" s="153"/>
      <c r="I835" s="153"/>
      <c r="J835" s="153"/>
      <c r="K835" s="153"/>
      <c r="L835" s="153"/>
      <c r="M835" s="153"/>
      <c r="N835" s="153"/>
      <c r="O835" s="153"/>
      <c r="P835" s="206"/>
    </row>
    <row r="836" spans="1:16" ht="25.5">
      <c r="A836" s="196">
        <v>76</v>
      </c>
      <c r="B836" s="205" t="s">
        <v>732</v>
      </c>
      <c r="C836" s="17">
        <f t="shared" si="35"/>
        <v>2635751.08</v>
      </c>
      <c r="D836" s="17">
        <v>2635751.08</v>
      </c>
      <c r="E836" s="17"/>
      <c r="F836" s="17"/>
      <c r="G836" s="17"/>
      <c r="H836" s="153"/>
      <c r="I836" s="153"/>
      <c r="J836" s="153"/>
      <c r="K836" s="153"/>
      <c r="L836" s="153"/>
      <c r="M836" s="153"/>
      <c r="N836" s="153"/>
      <c r="O836" s="153"/>
      <c r="P836" s="206"/>
    </row>
    <row r="837" spans="1:16" ht="12.75">
      <c r="A837" s="196"/>
      <c r="B837" s="202" t="s">
        <v>380</v>
      </c>
      <c r="C837" s="201">
        <f>SUM(C819:C836)</f>
        <v>15382202.82</v>
      </c>
      <c r="D837" s="201">
        <f>SUM(D819:D836)</f>
        <v>10998138.63</v>
      </c>
      <c r="E837" s="201">
        <f>SUM(E819:E836)</f>
        <v>362591.23</v>
      </c>
      <c r="F837" s="201">
        <f>SUM(F819:F836)</f>
        <v>2163.2</v>
      </c>
      <c r="G837" s="201">
        <f>SUM(G819:G836)</f>
        <v>4021472.96</v>
      </c>
      <c r="H837" s="153"/>
      <c r="I837" s="153"/>
      <c r="J837" s="153"/>
      <c r="K837" s="153"/>
      <c r="L837" s="153"/>
      <c r="M837" s="153"/>
      <c r="N837" s="153"/>
      <c r="O837" s="153"/>
      <c r="P837" s="206"/>
    </row>
    <row r="838" spans="1:16" ht="12.75">
      <c r="A838" s="337" t="s">
        <v>766</v>
      </c>
      <c r="B838" s="338"/>
      <c r="C838" s="338"/>
      <c r="D838" s="338"/>
      <c r="E838" s="338"/>
      <c r="F838" s="338"/>
      <c r="G838" s="338"/>
      <c r="H838" s="338"/>
      <c r="I838" s="338"/>
      <c r="J838" s="338"/>
      <c r="K838" s="338"/>
      <c r="L838" s="338"/>
      <c r="M838" s="338"/>
      <c r="N838" s="338"/>
      <c r="O838" s="338"/>
      <c r="P838" s="339"/>
    </row>
    <row r="839" spans="1:16" ht="25.5">
      <c r="A839" s="196">
        <v>77</v>
      </c>
      <c r="B839" s="205" t="s">
        <v>1100</v>
      </c>
      <c r="C839" s="216">
        <v>3202825.34</v>
      </c>
      <c r="D839" s="17"/>
      <c r="E839" s="17"/>
      <c r="F839" s="17">
        <v>953</v>
      </c>
      <c r="G839" s="216">
        <v>3202825.34</v>
      </c>
      <c r="H839" s="20"/>
      <c r="I839" s="20"/>
      <c r="J839" s="20"/>
      <c r="K839" s="20"/>
      <c r="L839" s="20"/>
      <c r="M839" s="20"/>
      <c r="N839" s="20"/>
      <c r="O839" s="20"/>
      <c r="P839" s="260"/>
    </row>
    <row r="840" spans="1:16" ht="12.75">
      <c r="A840" s="196"/>
      <c r="B840" s="202" t="s">
        <v>380</v>
      </c>
      <c r="C840" s="201">
        <f>SUM(C839)</f>
        <v>3202825.34</v>
      </c>
      <c r="D840" s="201"/>
      <c r="E840" s="201"/>
      <c r="F840" s="201">
        <f>SUM(F839)</f>
        <v>953</v>
      </c>
      <c r="G840" s="201">
        <f>SUM(G839)</f>
        <v>3202825.34</v>
      </c>
      <c r="H840" s="153"/>
      <c r="I840" s="153"/>
      <c r="J840" s="153"/>
      <c r="K840" s="153"/>
      <c r="L840" s="153"/>
      <c r="M840" s="153"/>
      <c r="N840" s="153"/>
      <c r="O840" s="153"/>
      <c r="P840" s="206"/>
    </row>
    <row r="841" spans="1:16" ht="12.75">
      <c r="A841" s="337" t="s">
        <v>1366</v>
      </c>
      <c r="B841" s="338"/>
      <c r="C841" s="338"/>
      <c r="D841" s="338"/>
      <c r="E841" s="338"/>
      <c r="F841" s="338"/>
      <c r="G841" s="338"/>
      <c r="H841" s="338"/>
      <c r="I841" s="338"/>
      <c r="J841" s="338"/>
      <c r="K841" s="338"/>
      <c r="L841" s="338"/>
      <c r="M841" s="338"/>
      <c r="N841" s="338"/>
      <c r="O841" s="338"/>
      <c r="P841" s="339"/>
    </row>
    <row r="842" spans="1:16" ht="25.5">
      <c r="A842" s="196">
        <v>78</v>
      </c>
      <c r="B842" s="212" t="s">
        <v>248</v>
      </c>
      <c r="C842" s="17">
        <f>D842+E842+G842</f>
        <v>1530613.82</v>
      </c>
      <c r="D842" s="213"/>
      <c r="E842" s="213"/>
      <c r="F842" s="213">
        <v>462</v>
      </c>
      <c r="G842" s="17">
        <v>1530613.82</v>
      </c>
      <c r="H842" s="153"/>
      <c r="I842" s="153"/>
      <c r="J842" s="153"/>
      <c r="K842" s="153"/>
      <c r="L842" s="153"/>
      <c r="M842" s="153"/>
      <c r="N842" s="153"/>
      <c r="O842" s="153"/>
      <c r="P842" s="206"/>
    </row>
    <row r="843" spans="1:16" ht="25.5">
      <c r="A843" s="196">
        <v>79</v>
      </c>
      <c r="B843" s="212" t="s">
        <v>249</v>
      </c>
      <c r="C843" s="17">
        <f>D843+E843+G843</f>
        <v>212717.17</v>
      </c>
      <c r="D843" s="17">
        <v>212717.17</v>
      </c>
      <c r="E843" s="213"/>
      <c r="F843" s="213"/>
      <c r="G843" s="213"/>
      <c r="H843" s="153"/>
      <c r="I843" s="153"/>
      <c r="J843" s="153"/>
      <c r="K843" s="153"/>
      <c r="L843" s="153"/>
      <c r="M843" s="153"/>
      <c r="N843" s="153"/>
      <c r="O843" s="153"/>
      <c r="P843" s="206"/>
    </row>
    <row r="844" spans="1:16" ht="25.5">
      <c r="A844" s="196">
        <v>80</v>
      </c>
      <c r="B844" s="212" t="s">
        <v>1336</v>
      </c>
      <c r="C844" s="17">
        <f>D844+E844+G844</f>
        <v>284108.43</v>
      </c>
      <c r="D844" s="17">
        <v>284108.43</v>
      </c>
      <c r="E844" s="213"/>
      <c r="F844" s="213"/>
      <c r="G844" s="213"/>
      <c r="H844" s="153"/>
      <c r="I844" s="153"/>
      <c r="J844" s="153"/>
      <c r="K844" s="153"/>
      <c r="L844" s="153"/>
      <c r="M844" s="153"/>
      <c r="N844" s="153"/>
      <c r="O844" s="153"/>
      <c r="P844" s="206"/>
    </row>
    <row r="845" spans="1:16" ht="25.5">
      <c r="A845" s="196">
        <v>81</v>
      </c>
      <c r="B845" s="212" t="s">
        <v>1337</v>
      </c>
      <c r="C845" s="17">
        <f>D845+E845+G845</f>
        <v>689225.95</v>
      </c>
      <c r="D845" s="213"/>
      <c r="E845" s="213"/>
      <c r="F845" s="213">
        <v>290</v>
      </c>
      <c r="G845" s="17">
        <v>689225.95</v>
      </c>
      <c r="H845" s="153"/>
      <c r="I845" s="153"/>
      <c r="J845" s="153"/>
      <c r="K845" s="153"/>
      <c r="L845" s="153"/>
      <c r="M845" s="153"/>
      <c r="N845" s="153"/>
      <c r="O845" s="153"/>
      <c r="P845" s="206"/>
    </row>
    <row r="846" spans="1:16" ht="12.75">
      <c r="A846" s="196">
        <v>82</v>
      </c>
      <c r="B846" s="212" t="s">
        <v>612</v>
      </c>
      <c r="C846" s="17">
        <f>D846+E846+G846</f>
        <v>1673223.05</v>
      </c>
      <c r="D846" s="213">
        <v>74822.2</v>
      </c>
      <c r="E846" s="213"/>
      <c r="F846" s="213">
        <v>775</v>
      </c>
      <c r="G846" s="213">
        <v>1598400.85</v>
      </c>
      <c r="H846" s="153"/>
      <c r="I846" s="153"/>
      <c r="J846" s="153"/>
      <c r="K846" s="153"/>
      <c r="L846" s="153"/>
      <c r="M846" s="153"/>
      <c r="N846" s="153"/>
      <c r="O846" s="153"/>
      <c r="P846" s="206"/>
    </row>
    <row r="847" spans="1:16" ht="12.75">
      <c r="A847" s="198"/>
      <c r="B847" s="202" t="s">
        <v>380</v>
      </c>
      <c r="C847" s="201">
        <f>SUM(C842:C846)</f>
        <v>4389888.42</v>
      </c>
      <c r="D847" s="201">
        <f>SUM(D842:D846)</f>
        <v>571647.7999999999</v>
      </c>
      <c r="E847" s="201"/>
      <c r="F847" s="201">
        <f>SUM(F842:F846)</f>
        <v>1527</v>
      </c>
      <c r="G847" s="201">
        <f>SUM(G842:G846)</f>
        <v>3818240.62</v>
      </c>
      <c r="H847" s="153"/>
      <c r="I847" s="153"/>
      <c r="J847" s="153"/>
      <c r="K847" s="153"/>
      <c r="L847" s="153"/>
      <c r="M847" s="153"/>
      <c r="N847" s="153"/>
      <c r="O847" s="153"/>
      <c r="P847" s="206"/>
    </row>
    <row r="848" spans="1:16" ht="12.75">
      <c r="A848" s="337" t="s">
        <v>495</v>
      </c>
      <c r="B848" s="338"/>
      <c r="C848" s="338"/>
      <c r="D848" s="338"/>
      <c r="E848" s="338"/>
      <c r="F848" s="338"/>
      <c r="G848" s="338"/>
      <c r="H848" s="338"/>
      <c r="I848" s="338"/>
      <c r="J848" s="338"/>
      <c r="K848" s="338"/>
      <c r="L848" s="338"/>
      <c r="M848" s="338"/>
      <c r="N848" s="338"/>
      <c r="O848" s="338"/>
      <c r="P848" s="339"/>
    </row>
    <row r="849" spans="1:16" ht="25.5">
      <c r="A849" s="196">
        <v>83</v>
      </c>
      <c r="B849" s="205" t="s">
        <v>1101</v>
      </c>
      <c r="C849" s="17">
        <v>3694006.73</v>
      </c>
      <c r="D849" s="17"/>
      <c r="E849" s="17"/>
      <c r="F849" s="17">
        <v>768</v>
      </c>
      <c r="G849" s="17">
        <v>3694006.73</v>
      </c>
      <c r="H849" s="17"/>
      <c r="I849" s="17"/>
      <c r="J849" s="17"/>
      <c r="K849" s="17"/>
      <c r="L849" s="17"/>
      <c r="M849" s="17"/>
      <c r="N849" s="153"/>
      <c r="O849" s="153"/>
      <c r="P849" s="206"/>
    </row>
    <row r="850" spans="1:16" ht="12.75">
      <c r="A850" s="198"/>
      <c r="B850" s="202" t="s">
        <v>380</v>
      </c>
      <c r="C850" s="201">
        <f>SUM(C849:C849)</f>
        <v>3694006.73</v>
      </c>
      <c r="D850" s="201"/>
      <c r="E850" s="201"/>
      <c r="F850" s="201">
        <f>SUM(F849:F849)</f>
        <v>768</v>
      </c>
      <c r="G850" s="201">
        <f>SUM(G849:G849)</f>
        <v>3694006.73</v>
      </c>
      <c r="H850" s="201"/>
      <c r="I850" s="201"/>
      <c r="J850" s="201"/>
      <c r="K850" s="201"/>
      <c r="L850" s="201"/>
      <c r="M850" s="201"/>
      <c r="N850" s="207"/>
      <c r="O850" s="153"/>
      <c r="P850" s="206"/>
    </row>
    <row r="851" spans="1:16" ht="12.75">
      <c r="A851" s="337" t="s">
        <v>1364</v>
      </c>
      <c r="B851" s="338"/>
      <c r="C851" s="338"/>
      <c r="D851" s="338"/>
      <c r="E851" s="338"/>
      <c r="F851" s="338"/>
      <c r="G851" s="338"/>
      <c r="H851" s="338"/>
      <c r="I851" s="338"/>
      <c r="J851" s="338"/>
      <c r="K851" s="338"/>
      <c r="L851" s="338"/>
      <c r="M851" s="338"/>
      <c r="N851" s="338"/>
      <c r="O851" s="338"/>
      <c r="P851" s="339"/>
    </row>
    <row r="852" spans="1:16" ht="12.75">
      <c r="A852" s="214">
        <v>84</v>
      </c>
      <c r="B852" s="215" t="s">
        <v>776</v>
      </c>
      <c r="C852" s="17">
        <v>1408516.19</v>
      </c>
      <c r="D852" s="153"/>
      <c r="E852" s="153"/>
      <c r="F852" s="153">
        <v>688</v>
      </c>
      <c r="G852" s="17">
        <v>1408516.19</v>
      </c>
      <c r="H852" s="153"/>
      <c r="I852" s="153"/>
      <c r="J852" s="153"/>
      <c r="K852" s="153"/>
      <c r="L852" s="153"/>
      <c r="M852" s="153"/>
      <c r="N852" s="153"/>
      <c r="O852" s="153"/>
      <c r="P852" s="206"/>
    </row>
    <row r="853" spans="1:16" ht="12.75">
      <c r="A853" s="198"/>
      <c r="B853" s="202" t="s">
        <v>380</v>
      </c>
      <c r="C853" s="201">
        <f>SUM(C852)</f>
        <v>1408516.19</v>
      </c>
      <c r="D853" s="201"/>
      <c r="E853" s="201"/>
      <c r="F853" s="201">
        <f>SUM(F852)</f>
        <v>688</v>
      </c>
      <c r="G853" s="201">
        <f>SUM(G852)</f>
        <v>1408516.19</v>
      </c>
      <c r="H853" s="153"/>
      <c r="I853" s="153"/>
      <c r="J853" s="153"/>
      <c r="K853" s="153"/>
      <c r="L853" s="153"/>
      <c r="M853" s="153"/>
      <c r="N853" s="153"/>
      <c r="O853" s="153"/>
      <c r="P853" s="206"/>
    </row>
    <row r="854" spans="1:16" ht="12.75">
      <c r="A854" s="337" t="s">
        <v>1369</v>
      </c>
      <c r="B854" s="338"/>
      <c r="C854" s="338"/>
      <c r="D854" s="338"/>
      <c r="E854" s="338"/>
      <c r="F854" s="338"/>
      <c r="G854" s="338"/>
      <c r="H854" s="338"/>
      <c r="I854" s="338"/>
      <c r="J854" s="338"/>
      <c r="K854" s="338"/>
      <c r="L854" s="338"/>
      <c r="M854" s="338"/>
      <c r="N854" s="338"/>
      <c r="O854" s="338"/>
      <c r="P854" s="339"/>
    </row>
    <row r="855" spans="1:16" ht="25.5">
      <c r="A855" s="214">
        <v>85</v>
      </c>
      <c r="B855" s="215" t="s">
        <v>735</v>
      </c>
      <c r="C855" s="17">
        <f>D855+E855+G855+I855+K855+M855</f>
        <v>5526789.37</v>
      </c>
      <c r="D855" s="17">
        <v>5526789.37</v>
      </c>
      <c r="E855" s="17"/>
      <c r="F855" s="17"/>
      <c r="G855" s="17"/>
      <c r="H855" s="153"/>
      <c r="I855" s="153"/>
      <c r="J855" s="153"/>
      <c r="K855" s="153"/>
      <c r="L855" s="153"/>
      <c r="M855" s="153"/>
      <c r="N855" s="153"/>
      <c r="O855" s="153"/>
      <c r="P855" s="206"/>
    </row>
    <row r="856" spans="1:16" ht="25.5">
      <c r="A856" s="214">
        <v>86</v>
      </c>
      <c r="B856" s="215" t="s">
        <v>1102</v>
      </c>
      <c r="C856" s="17">
        <f aca="true" t="shared" si="36" ref="C856:C863">D856+E856+G856+I856+K856+M856</f>
        <v>4782584.640000001</v>
      </c>
      <c r="D856" s="216">
        <v>3213280.47</v>
      </c>
      <c r="E856" s="17"/>
      <c r="F856" s="17">
        <v>824</v>
      </c>
      <c r="G856" s="17">
        <v>1569304.17</v>
      </c>
      <c r="H856" s="153"/>
      <c r="I856" s="153"/>
      <c r="J856" s="153"/>
      <c r="K856" s="153"/>
      <c r="L856" s="153"/>
      <c r="M856" s="153"/>
      <c r="N856" s="153"/>
      <c r="O856" s="153"/>
      <c r="P856" s="206"/>
    </row>
    <row r="857" spans="1:16" ht="25.5">
      <c r="A857" s="214">
        <v>87</v>
      </c>
      <c r="B857" s="215" t="s">
        <v>250</v>
      </c>
      <c r="C857" s="17">
        <f t="shared" si="36"/>
        <v>1881328.55</v>
      </c>
      <c r="D857" s="216"/>
      <c r="E857" s="17"/>
      <c r="F857" s="17">
        <v>560</v>
      </c>
      <c r="G857" s="17">
        <v>1881328.55</v>
      </c>
      <c r="H857" s="153"/>
      <c r="I857" s="153"/>
      <c r="J857" s="153"/>
      <c r="K857" s="153"/>
      <c r="L857" s="153"/>
      <c r="M857" s="153"/>
      <c r="N857" s="153"/>
      <c r="O857" s="37"/>
      <c r="P857" s="247"/>
    </row>
    <row r="858" spans="1:16" ht="25.5">
      <c r="A858" s="214">
        <v>88</v>
      </c>
      <c r="B858" s="215" t="s">
        <v>445</v>
      </c>
      <c r="C858" s="17">
        <f t="shared" si="36"/>
        <v>2464118.45</v>
      </c>
      <c r="D858" s="216"/>
      <c r="E858" s="17"/>
      <c r="F858" s="17">
        <v>781</v>
      </c>
      <c r="G858" s="17">
        <v>2464118.45</v>
      </c>
      <c r="H858" s="153"/>
      <c r="I858" s="153"/>
      <c r="J858" s="153"/>
      <c r="K858" s="153"/>
      <c r="L858" s="153"/>
      <c r="M858" s="153"/>
      <c r="N858" s="153"/>
      <c r="O858" s="37"/>
      <c r="P858" s="247"/>
    </row>
    <row r="859" spans="1:16" ht="25.5">
      <c r="A859" s="214">
        <v>89</v>
      </c>
      <c r="B859" s="215" t="s">
        <v>251</v>
      </c>
      <c r="C859" s="17">
        <f t="shared" si="36"/>
        <v>1653910.4</v>
      </c>
      <c r="D859" s="216"/>
      <c r="E859" s="17"/>
      <c r="F859" s="17">
        <v>532</v>
      </c>
      <c r="G859" s="17">
        <v>1653910.4</v>
      </c>
      <c r="H859" s="153"/>
      <c r="I859" s="153"/>
      <c r="J859" s="153"/>
      <c r="K859" s="153"/>
      <c r="L859" s="153"/>
      <c r="M859" s="153"/>
      <c r="N859" s="153"/>
      <c r="O859" s="37"/>
      <c r="P859" s="247"/>
    </row>
    <row r="860" spans="1:16" ht="25.5">
      <c r="A860" s="214">
        <v>90</v>
      </c>
      <c r="B860" s="215" t="s">
        <v>252</v>
      </c>
      <c r="C860" s="17">
        <f t="shared" si="36"/>
        <v>2475460</v>
      </c>
      <c r="D860" s="216"/>
      <c r="E860" s="17"/>
      <c r="F860" s="17">
        <v>1667</v>
      </c>
      <c r="G860" s="17">
        <v>2475460</v>
      </c>
      <c r="H860" s="153"/>
      <c r="I860" s="153"/>
      <c r="J860" s="153"/>
      <c r="K860" s="153"/>
      <c r="L860" s="153"/>
      <c r="M860" s="153"/>
      <c r="N860" s="153"/>
      <c r="O860" s="37"/>
      <c r="P860" s="247"/>
    </row>
    <row r="861" spans="1:16" ht="25.5">
      <c r="A861" s="214">
        <v>91</v>
      </c>
      <c r="B861" s="215" t="s">
        <v>1661</v>
      </c>
      <c r="C861" s="17">
        <f t="shared" si="36"/>
        <v>2544736.57</v>
      </c>
      <c r="D861" s="216"/>
      <c r="E861" s="17"/>
      <c r="F861" s="17">
        <v>621</v>
      </c>
      <c r="G861" s="17">
        <v>2544736.57</v>
      </c>
      <c r="H861" s="153"/>
      <c r="I861" s="153"/>
      <c r="J861" s="153"/>
      <c r="K861" s="153"/>
      <c r="L861" s="153"/>
      <c r="M861" s="153"/>
      <c r="N861" s="153"/>
      <c r="O861" s="37"/>
      <c r="P861" s="247"/>
    </row>
    <row r="862" spans="1:16" ht="25.5">
      <c r="A862" s="214">
        <v>92</v>
      </c>
      <c r="B862" s="215" t="s">
        <v>1662</v>
      </c>
      <c r="C862" s="17">
        <f t="shared" si="36"/>
        <v>2491629.03</v>
      </c>
      <c r="D862" s="216"/>
      <c r="E862" s="17"/>
      <c r="F862" s="17"/>
      <c r="G862" s="17"/>
      <c r="H862" s="153"/>
      <c r="I862" s="153"/>
      <c r="J862" s="153"/>
      <c r="K862" s="153"/>
      <c r="L862" s="17">
        <v>789</v>
      </c>
      <c r="M862" s="17">
        <v>2491629.03</v>
      </c>
      <c r="N862" s="153"/>
      <c r="O862" s="37"/>
      <c r="P862" s="247"/>
    </row>
    <row r="863" spans="1:16" ht="25.5">
      <c r="A863" s="214">
        <v>93</v>
      </c>
      <c r="B863" s="215" t="s">
        <v>253</v>
      </c>
      <c r="C863" s="17">
        <f t="shared" si="36"/>
        <v>5151060.69</v>
      </c>
      <c r="D863" s="216">
        <v>4825644.16</v>
      </c>
      <c r="E863" s="17">
        <v>325416.53</v>
      </c>
      <c r="F863" s="17"/>
      <c r="G863" s="17"/>
      <c r="H863" s="153"/>
      <c r="I863" s="153"/>
      <c r="J863" s="153"/>
      <c r="K863" s="153"/>
      <c r="L863" s="17"/>
      <c r="M863" s="17"/>
      <c r="N863" s="153"/>
      <c r="O863" s="37"/>
      <c r="P863" s="247"/>
    </row>
    <row r="864" spans="1:16" ht="12.75">
      <c r="A864" s="217"/>
      <c r="B864" s="202" t="s">
        <v>1437</v>
      </c>
      <c r="C864" s="218">
        <f>SUM(C855:C863)</f>
        <v>28971617.700000007</v>
      </c>
      <c r="D864" s="218">
        <f>SUM(D855:D863)</f>
        <v>13565714</v>
      </c>
      <c r="E864" s="218">
        <f>SUM(E855:E863)</f>
        <v>325416.53</v>
      </c>
      <c r="F864" s="218">
        <f>SUM(F855:F863)</f>
        <v>4985</v>
      </c>
      <c r="G864" s="218">
        <f>SUM(G855:G863)</f>
        <v>12588858.14</v>
      </c>
      <c r="H864" s="218"/>
      <c r="I864" s="218"/>
      <c r="J864" s="218"/>
      <c r="K864" s="218"/>
      <c r="L864" s="218">
        <f>SUM(L855:L863)</f>
        <v>789</v>
      </c>
      <c r="M864" s="218">
        <f>SUM(M855:M863)</f>
        <v>2491629.03</v>
      </c>
      <c r="N864" s="153"/>
      <c r="O864" s="153"/>
      <c r="P864" s="206"/>
    </row>
    <row r="865" spans="1:16" ht="12.75">
      <c r="A865" s="337" t="s">
        <v>1370</v>
      </c>
      <c r="B865" s="338"/>
      <c r="C865" s="338"/>
      <c r="D865" s="338"/>
      <c r="E865" s="338"/>
      <c r="F865" s="338"/>
      <c r="G865" s="338"/>
      <c r="H865" s="338"/>
      <c r="I865" s="338"/>
      <c r="J865" s="338"/>
      <c r="K865" s="338"/>
      <c r="L865" s="338"/>
      <c r="M865" s="338"/>
      <c r="N865" s="338"/>
      <c r="O865" s="338"/>
      <c r="P865" s="339"/>
    </row>
    <row r="866" spans="1:16" ht="25.5">
      <c r="A866" s="219" t="s">
        <v>868</v>
      </c>
      <c r="B866" s="220" t="s">
        <v>355</v>
      </c>
      <c r="C866" s="17">
        <f>D866+E866+G866+I866+K866+M866</f>
        <v>3882708.21</v>
      </c>
      <c r="D866" s="216"/>
      <c r="E866" s="216"/>
      <c r="F866" s="216">
        <v>1212</v>
      </c>
      <c r="G866" s="17">
        <v>3882708.21</v>
      </c>
      <c r="H866" s="216"/>
      <c r="I866" s="216"/>
      <c r="J866" s="216"/>
      <c r="K866" s="216"/>
      <c r="L866" s="17"/>
      <c r="M866" s="17"/>
      <c r="N866" s="153"/>
      <c r="O866" s="153"/>
      <c r="P866" s="206"/>
    </row>
    <row r="867" spans="1:16" ht="25.5">
      <c r="A867" s="219" t="s">
        <v>1567</v>
      </c>
      <c r="B867" s="215" t="s">
        <v>1103</v>
      </c>
      <c r="C867" s="17">
        <f aca="true" t="shared" si="37" ref="C867:C899">D867+E867+G867+I867+K867+M867</f>
        <v>2074011.14</v>
      </c>
      <c r="D867" s="216"/>
      <c r="E867" s="216"/>
      <c r="F867" s="216">
        <v>614</v>
      </c>
      <c r="G867" s="17">
        <v>2074011.14</v>
      </c>
      <c r="H867" s="216"/>
      <c r="I867" s="216"/>
      <c r="J867" s="216"/>
      <c r="K867" s="216"/>
      <c r="L867" s="17"/>
      <c r="M867" s="17"/>
      <c r="N867" s="153"/>
      <c r="O867" s="153"/>
      <c r="P867" s="206"/>
    </row>
    <row r="868" spans="1:16" ht="25.5">
      <c r="A868" s="219" t="s">
        <v>1568</v>
      </c>
      <c r="B868" s="215" t="s">
        <v>1104</v>
      </c>
      <c r="C868" s="17">
        <f t="shared" si="37"/>
        <v>5695135.91</v>
      </c>
      <c r="D868" s="216"/>
      <c r="E868" s="216"/>
      <c r="F868" s="216">
        <v>1858</v>
      </c>
      <c r="G868" s="17">
        <v>5695135.91</v>
      </c>
      <c r="H868" s="216"/>
      <c r="I868" s="216"/>
      <c r="J868" s="216"/>
      <c r="K868" s="216"/>
      <c r="L868" s="17"/>
      <c r="M868" s="17"/>
      <c r="N868" s="153"/>
      <c r="O868" s="153"/>
      <c r="P868" s="206"/>
    </row>
    <row r="869" spans="1:16" ht="25.5">
      <c r="A869" s="219" t="s">
        <v>1566</v>
      </c>
      <c r="B869" s="215" t="s">
        <v>1105</v>
      </c>
      <c r="C869" s="17">
        <f t="shared" si="37"/>
        <v>1875166.6</v>
      </c>
      <c r="D869" s="216"/>
      <c r="E869" s="216"/>
      <c r="F869" s="216">
        <v>586</v>
      </c>
      <c r="G869" s="17">
        <v>1875166.6</v>
      </c>
      <c r="H869" s="216"/>
      <c r="I869" s="216"/>
      <c r="J869" s="216"/>
      <c r="K869" s="216"/>
      <c r="L869" s="17"/>
      <c r="M869" s="17"/>
      <c r="N869" s="153"/>
      <c r="O869" s="153"/>
      <c r="P869" s="206"/>
    </row>
    <row r="870" spans="1:16" ht="25.5">
      <c r="A870" s="219" t="s">
        <v>1565</v>
      </c>
      <c r="B870" s="215" t="s">
        <v>1106</v>
      </c>
      <c r="C870" s="17">
        <f t="shared" si="37"/>
        <v>2850673.15</v>
      </c>
      <c r="D870" s="216"/>
      <c r="E870" s="216"/>
      <c r="F870" s="216">
        <v>890</v>
      </c>
      <c r="G870" s="17">
        <v>2850673.15</v>
      </c>
      <c r="H870" s="216"/>
      <c r="I870" s="216"/>
      <c r="J870" s="216"/>
      <c r="K870" s="216"/>
      <c r="L870" s="17"/>
      <c r="M870" s="17"/>
      <c r="N870" s="153"/>
      <c r="O870" s="153"/>
      <c r="P870" s="206"/>
    </row>
    <row r="871" spans="1:16" ht="25.5">
      <c r="A871" s="219" t="s">
        <v>1150</v>
      </c>
      <c r="B871" s="215" t="s">
        <v>1107</v>
      </c>
      <c r="C871" s="17">
        <f t="shared" si="37"/>
        <v>3818510</v>
      </c>
      <c r="D871" s="216"/>
      <c r="E871" s="216"/>
      <c r="F871" s="216">
        <v>1180</v>
      </c>
      <c r="G871" s="17">
        <v>3818510</v>
      </c>
      <c r="H871" s="216"/>
      <c r="I871" s="216"/>
      <c r="J871" s="216"/>
      <c r="K871" s="216"/>
      <c r="L871" s="17"/>
      <c r="M871" s="17"/>
      <c r="N871" s="153"/>
      <c r="O871" s="153"/>
      <c r="P871" s="206"/>
    </row>
    <row r="872" spans="1:16" ht="25.5">
      <c r="A872" s="219" t="s">
        <v>1151</v>
      </c>
      <c r="B872" s="215" t="s">
        <v>1108</v>
      </c>
      <c r="C872" s="17">
        <f t="shared" si="37"/>
        <v>3533994.44</v>
      </c>
      <c r="D872" s="216"/>
      <c r="E872" s="216"/>
      <c r="F872" s="216">
        <v>1175</v>
      </c>
      <c r="G872" s="17">
        <v>3533994.44</v>
      </c>
      <c r="H872" s="216"/>
      <c r="I872" s="216"/>
      <c r="J872" s="216"/>
      <c r="K872" s="216"/>
      <c r="L872" s="17"/>
      <c r="M872" s="17"/>
      <c r="N872" s="153"/>
      <c r="O872" s="153"/>
      <c r="P872" s="206"/>
    </row>
    <row r="873" spans="1:16" ht="25.5">
      <c r="A873" s="219" t="s">
        <v>78</v>
      </c>
      <c r="B873" s="215" t="s">
        <v>1109</v>
      </c>
      <c r="C873" s="17">
        <f t="shared" si="37"/>
        <v>2889156.92</v>
      </c>
      <c r="D873" s="216"/>
      <c r="E873" s="216"/>
      <c r="F873" s="216">
        <v>881</v>
      </c>
      <c r="G873" s="17">
        <v>2889156.92</v>
      </c>
      <c r="H873" s="216"/>
      <c r="I873" s="216"/>
      <c r="J873" s="216"/>
      <c r="K873" s="216"/>
      <c r="L873" s="17"/>
      <c r="M873" s="17"/>
      <c r="N873" s="153"/>
      <c r="O873" s="153"/>
      <c r="P873" s="206"/>
    </row>
    <row r="874" spans="1:16" ht="25.5">
      <c r="A874" s="219" t="s">
        <v>79</v>
      </c>
      <c r="B874" s="215" t="s">
        <v>1110</v>
      </c>
      <c r="C874" s="17">
        <f t="shared" si="37"/>
        <v>1984263.42</v>
      </c>
      <c r="D874" s="216"/>
      <c r="E874" s="216"/>
      <c r="F874" s="216">
        <v>564</v>
      </c>
      <c r="G874" s="17">
        <v>1984263.42</v>
      </c>
      <c r="H874" s="216"/>
      <c r="I874" s="216"/>
      <c r="J874" s="216"/>
      <c r="K874" s="216"/>
      <c r="L874" s="17"/>
      <c r="M874" s="17"/>
      <c r="N874" s="153"/>
      <c r="O874" s="153"/>
      <c r="P874" s="206"/>
    </row>
    <row r="875" spans="1:16" ht="25.5">
      <c r="A875" s="219" t="s">
        <v>80</v>
      </c>
      <c r="B875" s="215" t="s">
        <v>1111</v>
      </c>
      <c r="C875" s="17">
        <f t="shared" si="37"/>
        <v>5407653.87</v>
      </c>
      <c r="D875" s="17">
        <v>5407653.87</v>
      </c>
      <c r="E875" s="216"/>
      <c r="F875" s="216"/>
      <c r="G875" s="216"/>
      <c r="H875" s="216"/>
      <c r="I875" s="216"/>
      <c r="J875" s="216"/>
      <c r="K875" s="216"/>
      <c r="L875" s="17"/>
      <c r="M875" s="17"/>
      <c r="N875" s="153"/>
      <c r="O875" s="153"/>
      <c r="P875" s="206"/>
    </row>
    <row r="876" spans="1:16" ht="25.5">
      <c r="A876" s="219" t="s">
        <v>81</v>
      </c>
      <c r="B876" s="215" t="s">
        <v>1112</v>
      </c>
      <c r="C876" s="17">
        <f t="shared" si="37"/>
        <v>3187152.72</v>
      </c>
      <c r="D876" s="216"/>
      <c r="E876" s="216"/>
      <c r="F876" s="216">
        <v>943</v>
      </c>
      <c r="G876" s="17">
        <v>3187152.72</v>
      </c>
      <c r="H876" s="216"/>
      <c r="I876" s="216"/>
      <c r="J876" s="216"/>
      <c r="K876" s="216"/>
      <c r="L876" s="17"/>
      <c r="M876" s="17"/>
      <c r="N876" s="153"/>
      <c r="O876" s="153"/>
      <c r="P876" s="206"/>
    </row>
    <row r="877" spans="1:16" ht="25.5">
      <c r="A877" s="219" t="s">
        <v>1230</v>
      </c>
      <c r="B877" s="215" t="s">
        <v>1113</v>
      </c>
      <c r="C877" s="17">
        <f t="shared" si="37"/>
        <v>3452764.09</v>
      </c>
      <c r="D877" s="216"/>
      <c r="E877" s="216"/>
      <c r="F877" s="216">
        <v>1150</v>
      </c>
      <c r="G877" s="17">
        <v>3452764.09</v>
      </c>
      <c r="H877" s="216"/>
      <c r="I877" s="216"/>
      <c r="J877" s="216"/>
      <c r="K877" s="216"/>
      <c r="L877" s="17"/>
      <c r="M877" s="17"/>
      <c r="N877" s="153"/>
      <c r="O877" s="153"/>
      <c r="P877" s="206"/>
    </row>
    <row r="878" spans="1:16" ht="25.5">
      <c r="A878" s="219" t="s">
        <v>1231</v>
      </c>
      <c r="B878" s="215" t="s">
        <v>1114</v>
      </c>
      <c r="C878" s="17">
        <f t="shared" si="37"/>
        <v>1788271.55</v>
      </c>
      <c r="D878" s="216"/>
      <c r="E878" s="216"/>
      <c r="F878" s="216">
        <v>602</v>
      </c>
      <c r="G878" s="17">
        <v>1788271.55</v>
      </c>
      <c r="H878" s="216"/>
      <c r="I878" s="216"/>
      <c r="J878" s="216"/>
      <c r="K878" s="216"/>
      <c r="L878" s="17"/>
      <c r="M878" s="17"/>
      <c r="N878" s="153"/>
      <c r="O878" s="153"/>
      <c r="P878" s="206"/>
    </row>
    <row r="879" spans="1:16" ht="25.5">
      <c r="A879" s="219" t="s">
        <v>1232</v>
      </c>
      <c r="B879" s="220" t="s">
        <v>482</v>
      </c>
      <c r="C879" s="17">
        <f t="shared" si="37"/>
        <v>3004573.83</v>
      </c>
      <c r="D879" s="216"/>
      <c r="E879" s="216"/>
      <c r="F879" s="216">
        <v>1004</v>
      </c>
      <c r="G879" s="17">
        <v>3004573.83</v>
      </c>
      <c r="H879" s="216"/>
      <c r="I879" s="216"/>
      <c r="J879" s="216"/>
      <c r="K879" s="216"/>
      <c r="L879" s="17"/>
      <c r="M879" s="17"/>
      <c r="N879" s="153"/>
      <c r="O879" s="153"/>
      <c r="P879" s="206"/>
    </row>
    <row r="880" spans="1:16" ht="25.5">
      <c r="A880" s="219" t="s">
        <v>1233</v>
      </c>
      <c r="B880" s="215" t="s">
        <v>1115</v>
      </c>
      <c r="C880" s="17">
        <f t="shared" si="37"/>
        <v>3686341.59</v>
      </c>
      <c r="D880" s="216"/>
      <c r="E880" s="216"/>
      <c r="F880" s="216">
        <v>1164</v>
      </c>
      <c r="G880" s="17">
        <v>3686341.59</v>
      </c>
      <c r="H880" s="216"/>
      <c r="I880" s="216"/>
      <c r="J880" s="216"/>
      <c r="K880" s="216"/>
      <c r="L880" s="17"/>
      <c r="M880" s="17"/>
      <c r="N880" s="153"/>
      <c r="O880" s="153"/>
      <c r="P880" s="206"/>
    </row>
    <row r="881" spans="1:16" ht="25.5">
      <c r="A881" s="219" t="s">
        <v>1234</v>
      </c>
      <c r="B881" s="220" t="s">
        <v>697</v>
      </c>
      <c r="C881" s="17">
        <f t="shared" si="37"/>
        <v>3939581.19</v>
      </c>
      <c r="D881" s="216"/>
      <c r="E881" s="216"/>
      <c r="F881" s="216">
        <v>1215</v>
      </c>
      <c r="G881" s="17">
        <v>3939581.19</v>
      </c>
      <c r="H881" s="216"/>
      <c r="I881" s="216"/>
      <c r="J881" s="216"/>
      <c r="K881" s="216"/>
      <c r="L881" s="17"/>
      <c r="M881" s="17"/>
      <c r="N881" s="153"/>
      <c r="O881" s="153"/>
      <c r="P881" s="206"/>
    </row>
    <row r="882" spans="1:16" ht="14.25" customHeight="1">
      <c r="A882" s="219" t="s">
        <v>1235</v>
      </c>
      <c r="B882" s="220" t="s">
        <v>479</v>
      </c>
      <c r="C882" s="17">
        <f t="shared" si="37"/>
        <v>1578710.8</v>
      </c>
      <c r="D882" s="216"/>
      <c r="E882" s="216"/>
      <c r="F882" s="216">
        <v>495.3</v>
      </c>
      <c r="G882" s="17">
        <v>1578710.8</v>
      </c>
      <c r="H882" s="216"/>
      <c r="I882" s="216"/>
      <c r="J882" s="216"/>
      <c r="K882" s="216"/>
      <c r="L882" s="17"/>
      <c r="M882" s="17"/>
      <c r="N882" s="153"/>
      <c r="O882" s="153"/>
      <c r="P882" s="206"/>
    </row>
    <row r="883" spans="1:16" ht="15.75" customHeight="1">
      <c r="A883" s="219" t="s">
        <v>1251</v>
      </c>
      <c r="B883" s="220" t="s">
        <v>480</v>
      </c>
      <c r="C883" s="17">
        <f t="shared" si="37"/>
        <v>2946710.68</v>
      </c>
      <c r="D883" s="216"/>
      <c r="E883" s="216"/>
      <c r="F883" s="216">
        <v>913</v>
      </c>
      <c r="G883" s="17">
        <v>2946710.68</v>
      </c>
      <c r="H883" s="216"/>
      <c r="I883" s="216"/>
      <c r="J883" s="216"/>
      <c r="K883" s="216"/>
      <c r="L883" s="17"/>
      <c r="M883" s="17"/>
      <c r="N883" s="153"/>
      <c r="O883" s="153"/>
      <c r="P883" s="206"/>
    </row>
    <row r="884" spans="1:16" ht="12.75">
      <c r="A884" s="219" t="s">
        <v>1252</v>
      </c>
      <c r="B884" s="220" t="s">
        <v>481</v>
      </c>
      <c r="C884" s="17">
        <f t="shared" si="37"/>
        <v>3206063.26</v>
      </c>
      <c r="D884" s="216"/>
      <c r="E884" s="216"/>
      <c r="F884" s="216">
        <v>1178</v>
      </c>
      <c r="G884" s="17">
        <v>3206063.26</v>
      </c>
      <c r="H884" s="216"/>
      <c r="I884" s="216"/>
      <c r="J884" s="216"/>
      <c r="K884" s="216"/>
      <c r="L884" s="17"/>
      <c r="M884" s="17"/>
      <c r="N884" s="153"/>
      <c r="O884" s="153"/>
      <c r="P884" s="206"/>
    </row>
    <row r="885" spans="1:16" ht="38.25">
      <c r="A885" s="219" t="s">
        <v>1253</v>
      </c>
      <c r="B885" s="220" t="s">
        <v>654</v>
      </c>
      <c r="C885" s="17">
        <f t="shared" si="37"/>
        <v>2079360.2</v>
      </c>
      <c r="D885" s="213"/>
      <c r="E885" s="213"/>
      <c r="F885" s="213">
        <v>1486.65</v>
      </c>
      <c r="G885" s="17">
        <v>2079360.2</v>
      </c>
      <c r="H885" s="226"/>
      <c r="I885" s="216"/>
      <c r="J885" s="216"/>
      <c r="K885" s="216"/>
      <c r="L885" s="17"/>
      <c r="M885" s="17"/>
      <c r="N885" s="153"/>
      <c r="O885" s="153"/>
      <c r="P885" s="206"/>
    </row>
    <row r="886" spans="1:16" ht="38.25">
      <c r="A886" s="219" t="s">
        <v>1254</v>
      </c>
      <c r="B886" s="220" t="s">
        <v>655</v>
      </c>
      <c r="C886" s="17">
        <f t="shared" si="37"/>
        <v>1083398.71</v>
      </c>
      <c r="D886" s="213"/>
      <c r="E886" s="213"/>
      <c r="F886" s="213">
        <v>893.3</v>
      </c>
      <c r="G886" s="17">
        <v>1083398.71</v>
      </c>
      <c r="H886" s="226"/>
      <c r="I886" s="216"/>
      <c r="J886" s="216"/>
      <c r="K886" s="216"/>
      <c r="L886" s="17"/>
      <c r="M886" s="17"/>
      <c r="N886" s="153"/>
      <c r="O886" s="153"/>
      <c r="P886" s="206"/>
    </row>
    <row r="887" spans="1:16" ht="38.25">
      <c r="A887" s="219" t="s">
        <v>1255</v>
      </c>
      <c r="B887" s="220" t="s">
        <v>656</v>
      </c>
      <c r="C887" s="17">
        <f t="shared" si="37"/>
        <v>1373366.09</v>
      </c>
      <c r="D887" s="213"/>
      <c r="E887" s="213"/>
      <c r="F887" s="213">
        <v>808.6</v>
      </c>
      <c r="G887" s="17">
        <v>1373366.09</v>
      </c>
      <c r="H887" s="226"/>
      <c r="I887" s="216"/>
      <c r="J887" s="216"/>
      <c r="K887" s="216"/>
      <c r="L887" s="17"/>
      <c r="M887" s="17"/>
      <c r="N887" s="153"/>
      <c r="O887" s="153"/>
      <c r="P887" s="206"/>
    </row>
    <row r="888" spans="1:16" ht="38.25">
      <c r="A888" s="219" t="s">
        <v>1256</v>
      </c>
      <c r="B888" s="220" t="s">
        <v>652</v>
      </c>
      <c r="C888" s="17">
        <f t="shared" si="37"/>
        <v>1447090.62</v>
      </c>
      <c r="D888" s="213"/>
      <c r="E888" s="213"/>
      <c r="F888" s="213">
        <v>807.3</v>
      </c>
      <c r="G888" s="17">
        <v>1447090.62</v>
      </c>
      <c r="H888" s="226"/>
      <c r="I888" s="216"/>
      <c r="J888" s="216"/>
      <c r="K888" s="216"/>
      <c r="L888" s="17"/>
      <c r="M888" s="17"/>
      <c r="N888" s="153"/>
      <c r="O888" s="153"/>
      <c r="P888" s="206"/>
    </row>
    <row r="889" spans="1:16" ht="25.5">
      <c r="A889" s="219" t="s">
        <v>1257</v>
      </c>
      <c r="B889" s="220" t="s">
        <v>1338</v>
      </c>
      <c r="C889" s="17">
        <f t="shared" si="37"/>
        <v>2945631.57</v>
      </c>
      <c r="D889" s="213"/>
      <c r="E889" s="213"/>
      <c r="F889" s="213">
        <v>943.12</v>
      </c>
      <c r="G889" s="17">
        <v>2945631.57</v>
      </c>
      <c r="H889" s="226"/>
      <c r="I889" s="216"/>
      <c r="J889" s="216"/>
      <c r="K889" s="216"/>
      <c r="L889" s="17"/>
      <c r="M889" s="17"/>
      <c r="N889" s="153"/>
      <c r="O889" s="153"/>
      <c r="P889" s="206"/>
    </row>
    <row r="890" spans="1:16" ht="25.5">
      <c r="A890" s="219" t="s">
        <v>1258</v>
      </c>
      <c r="B890" s="220" t="s">
        <v>1339</v>
      </c>
      <c r="C890" s="17">
        <f t="shared" si="37"/>
        <v>2019867.85</v>
      </c>
      <c r="D890" s="213"/>
      <c r="E890" s="213"/>
      <c r="F890" s="213">
        <v>1393</v>
      </c>
      <c r="G890" s="17">
        <v>2019867.85</v>
      </c>
      <c r="H890" s="226"/>
      <c r="I890" s="216"/>
      <c r="J890" s="216"/>
      <c r="K890" s="216"/>
      <c r="L890" s="17"/>
      <c r="M890" s="17"/>
      <c r="N890" s="153"/>
      <c r="O890" s="153"/>
      <c r="P890" s="206"/>
    </row>
    <row r="891" spans="1:16" ht="25.5">
      <c r="A891" s="219" t="s">
        <v>1259</v>
      </c>
      <c r="B891" s="220" t="s">
        <v>257</v>
      </c>
      <c r="C891" s="17">
        <f t="shared" si="37"/>
        <v>2669789.53</v>
      </c>
      <c r="D891" s="213"/>
      <c r="E891" s="213"/>
      <c r="F891" s="213">
        <v>626</v>
      </c>
      <c r="G891" s="17">
        <v>2669789.53</v>
      </c>
      <c r="H891" s="226"/>
      <c r="I891" s="216"/>
      <c r="J891" s="216"/>
      <c r="K891" s="216"/>
      <c r="L891" s="17"/>
      <c r="M891" s="17"/>
      <c r="N891" s="153"/>
      <c r="O891" s="153"/>
      <c r="P891" s="206"/>
    </row>
    <row r="892" spans="1:16" ht="25.5">
      <c r="A892" s="219" t="s">
        <v>1260</v>
      </c>
      <c r="B892" s="220" t="s">
        <v>740</v>
      </c>
      <c r="C892" s="17">
        <f t="shared" si="37"/>
        <v>652598.63</v>
      </c>
      <c r="D892" s="213">
        <v>495776.42</v>
      </c>
      <c r="E892" s="213">
        <v>156822.21</v>
      </c>
      <c r="F892" s="213"/>
      <c r="G892" s="213"/>
      <c r="H892" s="226"/>
      <c r="I892" s="216"/>
      <c r="J892" s="216"/>
      <c r="K892" s="216"/>
      <c r="L892" s="17"/>
      <c r="M892" s="17"/>
      <c r="N892" s="153"/>
      <c r="O892" s="153"/>
      <c r="P892" s="206"/>
    </row>
    <row r="893" spans="1:16" ht="16.5" customHeight="1">
      <c r="A893" s="219" t="s">
        <v>1261</v>
      </c>
      <c r="B893" s="220" t="s">
        <v>542</v>
      </c>
      <c r="C893" s="17">
        <f t="shared" si="37"/>
        <v>2153535.26</v>
      </c>
      <c r="D893" s="213">
        <v>0</v>
      </c>
      <c r="E893" s="213"/>
      <c r="F893" s="213">
        <v>635</v>
      </c>
      <c r="G893" s="17">
        <v>2153535.26</v>
      </c>
      <c r="H893" s="226"/>
      <c r="I893" s="216"/>
      <c r="J893" s="216"/>
      <c r="K893" s="216"/>
      <c r="L893" s="17"/>
      <c r="M893" s="17"/>
      <c r="N893" s="153"/>
      <c r="O893" s="153"/>
      <c r="P893" s="206"/>
    </row>
    <row r="894" spans="1:16" ht="25.5">
      <c r="A894" s="219" t="s">
        <v>1262</v>
      </c>
      <c r="B894" s="220" t="s">
        <v>446</v>
      </c>
      <c r="C894" s="17">
        <f t="shared" si="37"/>
        <v>3523897.98</v>
      </c>
      <c r="D894" s="213">
        <v>3295709.84</v>
      </c>
      <c r="E894" s="213">
        <v>228188.14</v>
      </c>
      <c r="F894" s="213"/>
      <c r="G894" s="213"/>
      <c r="H894" s="226"/>
      <c r="I894" s="216"/>
      <c r="J894" s="216"/>
      <c r="K894" s="216"/>
      <c r="L894" s="17"/>
      <c r="M894" s="17"/>
      <c r="N894" s="153"/>
      <c r="O894" s="153"/>
      <c r="P894" s="206"/>
    </row>
    <row r="895" spans="1:16" ht="12.75">
      <c r="A895" s="219" t="s">
        <v>927</v>
      </c>
      <c r="B895" s="220" t="s">
        <v>519</v>
      </c>
      <c r="C895" s="17">
        <f t="shared" si="37"/>
        <v>4598859.9799999995</v>
      </c>
      <c r="D895" s="213">
        <v>4361079.3</v>
      </c>
      <c r="E895" s="213">
        <v>237780.68</v>
      </c>
      <c r="F895" s="213"/>
      <c r="G895" s="213"/>
      <c r="H895" s="226"/>
      <c r="I895" s="216"/>
      <c r="J895" s="216"/>
      <c r="K895" s="216"/>
      <c r="L895" s="17"/>
      <c r="M895" s="17"/>
      <c r="N895" s="153"/>
      <c r="O895" s="153"/>
      <c r="P895" s="206"/>
    </row>
    <row r="896" spans="1:16" ht="25.5">
      <c r="A896" s="219" t="s">
        <v>928</v>
      </c>
      <c r="B896" s="220" t="s">
        <v>543</v>
      </c>
      <c r="C896" s="17">
        <f t="shared" si="37"/>
        <v>1434146.92</v>
      </c>
      <c r="D896" s="213"/>
      <c r="E896" s="213"/>
      <c r="F896" s="213">
        <v>463.5</v>
      </c>
      <c r="G896" s="17">
        <v>1434146.92</v>
      </c>
      <c r="H896" s="226"/>
      <c r="I896" s="216"/>
      <c r="J896" s="216"/>
      <c r="K896" s="216"/>
      <c r="L896" s="17"/>
      <c r="M896" s="17"/>
      <c r="N896" s="153"/>
      <c r="O896" s="153"/>
      <c r="P896" s="206"/>
    </row>
    <row r="897" spans="1:16" ht="25.5">
      <c r="A897" s="219" t="s">
        <v>929</v>
      </c>
      <c r="B897" s="220" t="s">
        <v>447</v>
      </c>
      <c r="C897" s="17">
        <f t="shared" si="37"/>
        <v>2670808.87</v>
      </c>
      <c r="D897" s="213"/>
      <c r="E897" s="213"/>
      <c r="F897" s="213">
        <v>896</v>
      </c>
      <c r="G897" s="17">
        <v>2670808.87</v>
      </c>
      <c r="H897" s="226"/>
      <c r="I897" s="216"/>
      <c r="J897" s="216"/>
      <c r="K897" s="216"/>
      <c r="L897" s="17"/>
      <c r="M897" s="17"/>
      <c r="N897" s="153"/>
      <c r="O897" s="153"/>
      <c r="P897" s="206"/>
    </row>
    <row r="898" spans="1:16" ht="12.75">
      <c r="A898" s="219" t="s">
        <v>930</v>
      </c>
      <c r="B898" s="220" t="s">
        <v>544</v>
      </c>
      <c r="C898" s="17">
        <f t="shared" si="37"/>
        <v>2216873.38</v>
      </c>
      <c r="D898" s="213">
        <v>2148737.77</v>
      </c>
      <c r="E898" s="213">
        <v>68135.61</v>
      </c>
      <c r="F898" s="213"/>
      <c r="G898" s="213"/>
      <c r="H898" s="213"/>
      <c r="I898" s="216"/>
      <c r="J898" s="216"/>
      <c r="K898" s="216"/>
      <c r="L898" s="17"/>
      <c r="M898" s="17"/>
      <c r="N898" s="153"/>
      <c r="O898" s="153"/>
      <c r="P898" s="206"/>
    </row>
    <row r="899" spans="1:16" ht="25.5">
      <c r="A899" s="219" t="s">
        <v>931</v>
      </c>
      <c r="B899" s="220" t="s">
        <v>1296</v>
      </c>
      <c r="C899" s="17">
        <f t="shared" si="37"/>
        <v>2333800.25</v>
      </c>
      <c r="D899" s="213"/>
      <c r="E899" s="213"/>
      <c r="F899" s="213">
        <v>1120</v>
      </c>
      <c r="G899" s="213">
        <v>2333800.25</v>
      </c>
      <c r="H899" s="213"/>
      <c r="I899" s="216"/>
      <c r="J899" s="216"/>
      <c r="K899" s="216"/>
      <c r="L899" s="17"/>
      <c r="M899" s="17"/>
      <c r="N899" s="153"/>
      <c r="O899" s="153"/>
      <c r="P899" s="206"/>
    </row>
    <row r="900" spans="1:16" ht="12.75">
      <c r="A900" s="198"/>
      <c r="B900" s="202" t="s">
        <v>1437</v>
      </c>
      <c r="C900" s="248">
        <f>SUM(C866:C899)</f>
        <v>94004469.21</v>
      </c>
      <c r="D900" s="248">
        <f>SUM(D866:D899)</f>
        <v>15708957.2</v>
      </c>
      <c r="E900" s="248">
        <f>SUM(E866:E899)</f>
        <v>690926.64</v>
      </c>
      <c r="F900" s="248">
        <f>SUM(F866:F899)</f>
        <v>27696.769999999997</v>
      </c>
      <c r="G900" s="248">
        <f>SUM(G866:G899)</f>
        <v>77604585.37</v>
      </c>
      <c r="H900" s="248"/>
      <c r="I900" s="248"/>
      <c r="J900" s="218"/>
      <c r="K900" s="218"/>
      <c r="L900" s="218"/>
      <c r="M900" s="218"/>
      <c r="N900" s="153"/>
      <c r="O900" s="153"/>
      <c r="P900" s="206"/>
    </row>
    <row r="901" spans="1:16" ht="12.75">
      <c r="A901" s="337" t="s">
        <v>1373</v>
      </c>
      <c r="B901" s="338"/>
      <c r="C901" s="338"/>
      <c r="D901" s="338"/>
      <c r="E901" s="338"/>
      <c r="F901" s="338"/>
      <c r="G901" s="338"/>
      <c r="H901" s="338"/>
      <c r="I901" s="338"/>
      <c r="J901" s="338"/>
      <c r="K901" s="338"/>
      <c r="L901" s="338"/>
      <c r="M901" s="338"/>
      <c r="N901" s="338"/>
      <c r="O901" s="338"/>
      <c r="P901" s="339"/>
    </row>
    <row r="902" spans="1:16" ht="25.5">
      <c r="A902" s="214">
        <v>128</v>
      </c>
      <c r="B902" s="215" t="s">
        <v>1340</v>
      </c>
      <c r="C902" s="17">
        <f>D902+E902+G902+I902+K902+M902</f>
        <v>8069686.28</v>
      </c>
      <c r="D902" s="216">
        <v>2588190.41</v>
      </c>
      <c r="E902" s="17"/>
      <c r="F902" s="17">
        <v>1812</v>
      </c>
      <c r="G902" s="17">
        <v>5481495.87</v>
      </c>
      <c r="H902" s="153"/>
      <c r="I902" s="153"/>
      <c r="J902" s="17"/>
      <c r="K902" s="153"/>
      <c r="L902" s="153"/>
      <c r="M902" s="153"/>
      <c r="N902" s="153"/>
      <c r="O902" s="153"/>
      <c r="P902" s="206"/>
    </row>
    <row r="903" spans="1:16" ht="25.5">
      <c r="A903" s="214">
        <v>129</v>
      </c>
      <c r="B903" s="215" t="s">
        <v>1341</v>
      </c>
      <c r="C903" s="17">
        <f aca="true" t="shared" si="38" ref="C903:C925">D903+E903+G903+I903+K903+M903</f>
        <v>7852371.620000001</v>
      </c>
      <c r="D903" s="216">
        <v>4365654.9</v>
      </c>
      <c r="E903" s="17">
        <v>527134.15</v>
      </c>
      <c r="F903" s="17">
        <v>1700</v>
      </c>
      <c r="G903" s="17">
        <v>2959582.57</v>
      </c>
      <c r="H903" s="153"/>
      <c r="I903" s="153"/>
      <c r="J903" s="17"/>
      <c r="K903" s="153"/>
      <c r="L903" s="153"/>
      <c r="M903" s="153"/>
      <c r="N903" s="153"/>
      <c r="O903" s="153"/>
      <c r="P903" s="206"/>
    </row>
    <row r="904" spans="1:16" ht="25.5">
      <c r="A904" s="214">
        <v>130</v>
      </c>
      <c r="B904" s="215" t="s">
        <v>1116</v>
      </c>
      <c r="C904" s="17">
        <f t="shared" si="38"/>
        <v>5112107.140000001</v>
      </c>
      <c r="D904" s="17">
        <v>4919568.82</v>
      </c>
      <c r="E904" s="17">
        <v>192538.32</v>
      </c>
      <c r="F904" s="17"/>
      <c r="G904" s="17"/>
      <c r="H904" s="153"/>
      <c r="I904" s="153"/>
      <c r="J904" s="17"/>
      <c r="K904" s="153"/>
      <c r="L904" s="153"/>
      <c r="M904" s="153"/>
      <c r="N904" s="153"/>
      <c r="O904" s="153"/>
      <c r="P904" s="206"/>
    </row>
    <row r="905" spans="1:16" ht="25.5">
      <c r="A905" s="214">
        <v>131</v>
      </c>
      <c r="B905" s="215" t="s">
        <v>1117</v>
      </c>
      <c r="C905" s="17">
        <f t="shared" si="38"/>
        <v>5691963.31</v>
      </c>
      <c r="D905" s="216">
        <v>4949631.67</v>
      </c>
      <c r="E905" s="17">
        <v>742331.64</v>
      </c>
      <c r="F905" s="17"/>
      <c r="G905" s="17"/>
      <c r="H905" s="153"/>
      <c r="I905" s="153"/>
      <c r="J905" s="17"/>
      <c r="K905" s="153"/>
      <c r="L905" s="153"/>
      <c r="M905" s="153"/>
      <c r="N905" s="153"/>
      <c r="O905" s="153"/>
      <c r="P905" s="206"/>
    </row>
    <row r="906" spans="1:16" ht="25.5">
      <c r="A906" s="214">
        <v>132</v>
      </c>
      <c r="B906" s="215" t="s">
        <v>1118</v>
      </c>
      <c r="C906" s="17">
        <f t="shared" si="38"/>
        <v>1165981.86</v>
      </c>
      <c r="D906" s="17">
        <v>1165981.86</v>
      </c>
      <c r="E906" s="17"/>
      <c r="F906" s="17"/>
      <c r="G906" s="17"/>
      <c r="H906" s="153"/>
      <c r="I906" s="153"/>
      <c r="J906" s="17"/>
      <c r="K906" s="153"/>
      <c r="L906" s="153"/>
      <c r="M906" s="153"/>
      <c r="N906" s="153"/>
      <c r="O906" s="153"/>
      <c r="P906" s="206"/>
    </row>
    <row r="907" spans="1:16" ht="25.5">
      <c r="A907" s="214">
        <v>133</v>
      </c>
      <c r="B907" s="215" t="s">
        <v>1119</v>
      </c>
      <c r="C907" s="17">
        <f t="shared" si="38"/>
        <v>8851567.370000001</v>
      </c>
      <c r="D907" s="216">
        <v>7198152.12</v>
      </c>
      <c r="E907" s="17">
        <v>1653415.25</v>
      </c>
      <c r="F907" s="17"/>
      <c r="G907" s="17"/>
      <c r="H907" s="153"/>
      <c r="I907" s="153"/>
      <c r="J907" s="17"/>
      <c r="K907" s="153"/>
      <c r="L907" s="153"/>
      <c r="M907" s="153"/>
      <c r="N907" s="153"/>
      <c r="O907" s="153"/>
      <c r="P907" s="206"/>
    </row>
    <row r="908" spans="1:16" ht="25.5">
      <c r="A908" s="214">
        <v>134</v>
      </c>
      <c r="B908" s="215" t="s">
        <v>1120</v>
      </c>
      <c r="C908" s="17">
        <f t="shared" si="38"/>
        <v>5244041.12</v>
      </c>
      <c r="D908" s="216">
        <v>3325927.24</v>
      </c>
      <c r="E908" s="17">
        <v>817984.86</v>
      </c>
      <c r="F908" s="17">
        <v>644.3</v>
      </c>
      <c r="G908" s="17">
        <v>1100129.02</v>
      </c>
      <c r="H908" s="153"/>
      <c r="I908" s="153"/>
      <c r="J908" s="17"/>
      <c r="K908" s="153"/>
      <c r="L908" s="153"/>
      <c r="M908" s="153"/>
      <c r="N908" s="153"/>
      <c r="O908" s="153"/>
      <c r="P908" s="206"/>
    </row>
    <row r="909" spans="1:16" ht="25.5">
      <c r="A909" s="214">
        <v>135</v>
      </c>
      <c r="B909" s="215" t="s">
        <v>1121</v>
      </c>
      <c r="C909" s="17">
        <f t="shared" si="38"/>
        <v>2087405.52</v>
      </c>
      <c r="D909" s="17">
        <v>2087405.52</v>
      </c>
      <c r="E909" s="17"/>
      <c r="F909" s="17"/>
      <c r="G909" s="17"/>
      <c r="H909" s="153"/>
      <c r="I909" s="153"/>
      <c r="J909" s="17"/>
      <c r="K909" s="153"/>
      <c r="L909" s="153"/>
      <c r="M909" s="153"/>
      <c r="N909" s="153"/>
      <c r="O909" s="153"/>
      <c r="P909" s="206"/>
    </row>
    <row r="910" spans="1:16" ht="25.5">
      <c r="A910" s="214">
        <v>136</v>
      </c>
      <c r="B910" s="215" t="s">
        <v>1122</v>
      </c>
      <c r="C910" s="17">
        <f t="shared" si="38"/>
        <v>1058087.01</v>
      </c>
      <c r="D910" s="17">
        <v>1058087.01</v>
      </c>
      <c r="E910" s="17"/>
      <c r="F910" s="17"/>
      <c r="G910" s="17"/>
      <c r="H910" s="153"/>
      <c r="I910" s="153"/>
      <c r="J910" s="17"/>
      <c r="K910" s="153"/>
      <c r="L910" s="153"/>
      <c r="M910" s="153"/>
      <c r="N910" s="153"/>
      <c r="O910" s="153"/>
      <c r="P910" s="206"/>
    </row>
    <row r="911" spans="1:16" ht="25.5">
      <c r="A911" s="214">
        <v>137</v>
      </c>
      <c r="B911" s="215" t="s">
        <v>1123</v>
      </c>
      <c r="C911" s="17">
        <f t="shared" si="38"/>
        <v>4430954.35</v>
      </c>
      <c r="D911" s="216">
        <v>3987231.05</v>
      </c>
      <c r="E911" s="17">
        <v>443723.3</v>
      </c>
      <c r="F911" s="17"/>
      <c r="G911" s="17"/>
      <c r="H911" s="153"/>
      <c r="I911" s="153"/>
      <c r="J911" s="17"/>
      <c r="K911" s="153"/>
      <c r="L911" s="153"/>
      <c r="M911" s="153"/>
      <c r="N911" s="153"/>
      <c r="O911" s="153"/>
      <c r="P911" s="206"/>
    </row>
    <row r="912" spans="1:16" ht="25.5">
      <c r="A912" s="214">
        <v>138</v>
      </c>
      <c r="B912" s="215" t="s">
        <v>1124</v>
      </c>
      <c r="C912" s="17">
        <f t="shared" si="38"/>
        <v>11515904.94</v>
      </c>
      <c r="D912" s="216">
        <v>9798197.94</v>
      </c>
      <c r="E912" s="17">
        <v>1717707</v>
      </c>
      <c r="F912" s="17"/>
      <c r="G912" s="17"/>
      <c r="H912" s="153"/>
      <c r="I912" s="153"/>
      <c r="J912" s="17"/>
      <c r="K912" s="153"/>
      <c r="L912" s="153"/>
      <c r="M912" s="153"/>
      <c r="N912" s="153"/>
      <c r="O912" s="153"/>
      <c r="P912" s="206"/>
    </row>
    <row r="913" spans="1:16" ht="25.5">
      <c r="A913" s="214">
        <v>139</v>
      </c>
      <c r="B913" s="215" t="s">
        <v>1125</v>
      </c>
      <c r="C913" s="17">
        <f t="shared" si="38"/>
        <v>3243196.4</v>
      </c>
      <c r="D913" s="17">
        <v>3243196.4</v>
      </c>
      <c r="E913" s="17"/>
      <c r="F913" s="17"/>
      <c r="G913" s="17"/>
      <c r="H913" s="153"/>
      <c r="I913" s="153"/>
      <c r="J913" s="17"/>
      <c r="K913" s="153"/>
      <c r="L913" s="153"/>
      <c r="M913" s="153"/>
      <c r="N913" s="153"/>
      <c r="O913" s="153"/>
      <c r="P913" s="206"/>
    </row>
    <row r="914" spans="1:16" ht="25.5">
      <c r="A914" s="214">
        <v>140</v>
      </c>
      <c r="B914" s="215" t="s">
        <v>1126</v>
      </c>
      <c r="C914" s="17">
        <f t="shared" si="38"/>
        <v>12701898.899999999</v>
      </c>
      <c r="D914" s="216">
        <v>10206798.94</v>
      </c>
      <c r="E914" s="17">
        <v>2495099.96</v>
      </c>
      <c r="F914" s="17"/>
      <c r="G914" s="17"/>
      <c r="H914" s="153"/>
      <c r="I914" s="153"/>
      <c r="J914" s="17"/>
      <c r="K914" s="153"/>
      <c r="L914" s="153"/>
      <c r="M914" s="153"/>
      <c r="N914" s="153"/>
      <c r="O914" s="153"/>
      <c r="P914" s="206"/>
    </row>
    <row r="915" spans="1:16" ht="25.5">
      <c r="A915" s="214">
        <v>141</v>
      </c>
      <c r="B915" s="215" t="s">
        <v>1127</v>
      </c>
      <c r="C915" s="17">
        <f t="shared" si="38"/>
        <v>4504919.59</v>
      </c>
      <c r="D915" s="216">
        <v>3721958.45</v>
      </c>
      <c r="E915" s="17">
        <v>782961.14</v>
      </c>
      <c r="F915" s="17"/>
      <c r="G915" s="17"/>
      <c r="H915" s="153"/>
      <c r="I915" s="153"/>
      <c r="J915" s="17"/>
      <c r="K915" s="153"/>
      <c r="L915" s="153"/>
      <c r="M915" s="153"/>
      <c r="N915" s="153"/>
      <c r="O915" s="153"/>
      <c r="P915" s="206"/>
    </row>
    <row r="916" spans="1:16" ht="25.5">
      <c r="A916" s="214">
        <v>142</v>
      </c>
      <c r="B916" s="215" t="s">
        <v>1128</v>
      </c>
      <c r="C916" s="17">
        <f t="shared" si="38"/>
        <v>5377808.260000001</v>
      </c>
      <c r="D916" s="216">
        <v>4934144.15</v>
      </c>
      <c r="E916" s="17">
        <v>443664.11</v>
      </c>
      <c r="F916" s="17"/>
      <c r="G916" s="17"/>
      <c r="H916" s="153"/>
      <c r="I916" s="153"/>
      <c r="J916" s="17"/>
      <c r="K916" s="153"/>
      <c r="L916" s="153"/>
      <c r="M916" s="153"/>
      <c r="N916" s="153"/>
      <c r="O916" s="153"/>
      <c r="P916" s="206"/>
    </row>
    <row r="917" spans="1:16" ht="25.5">
      <c r="A917" s="214">
        <v>143</v>
      </c>
      <c r="B917" s="215" t="s">
        <v>1052</v>
      </c>
      <c r="C917" s="17">
        <f t="shared" si="38"/>
        <v>4803741.3</v>
      </c>
      <c r="D917" s="216">
        <v>3984051.56</v>
      </c>
      <c r="E917" s="17">
        <v>819689.74</v>
      </c>
      <c r="F917" s="17"/>
      <c r="G917" s="17"/>
      <c r="H917" s="153"/>
      <c r="I917" s="153"/>
      <c r="J917" s="216"/>
      <c r="K917" s="153"/>
      <c r="L917" s="153"/>
      <c r="M917" s="153"/>
      <c r="N917" s="153"/>
      <c r="O917" s="153"/>
      <c r="P917" s="206"/>
    </row>
    <row r="918" spans="1:16" ht="25.5">
      <c r="A918" s="214">
        <v>144</v>
      </c>
      <c r="B918" s="215" t="s">
        <v>41</v>
      </c>
      <c r="C918" s="17">
        <f t="shared" si="38"/>
        <v>2884825.77</v>
      </c>
      <c r="D918" s="17"/>
      <c r="E918" s="17"/>
      <c r="F918" s="17">
        <v>1779</v>
      </c>
      <c r="G918" s="17">
        <v>2884825.77</v>
      </c>
      <c r="H918" s="8"/>
      <c r="I918" s="17"/>
      <c r="J918" s="17"/>
      <c r="K918" s="17"/>
      <c r="L918" s="17"/>
      <c r="M918" s="153"/>
      <c r="N918" s="153"/>
      <c r="O918" s="153"/>
      <c r="P918" s="206"/>
    </row>
    <row r="919" spans="1:16" ht="25.5">
      <c r="A919" s="214">
        <v>145</v>
      </c>
      <c r="B919" s="215" t="s">
        <v>541</v>
      </c>
      <c r="C919" s="17">
        <f t="shared" si="38"/>
        <v>7163531.81</v>
      </c>
      <c r="D919" s="17"/>
      <c r="E919" s="17"/>
      <c r="F919" s="17"/>
      <c r="G919" s="17"/>
      <c r="H919" s="22">
        <v>4</v>
      </c>
      <c r="I919" s="17">
        <v>7163531.81</v>
      </c>
      <c r="J919" s="17"/>
      <c r="K919" s="17"/>
      <c r="L919" s="17"/>
      <c r="M919" s="153"/>
      <c r="N919" s="153"/>
      <c r="O919" s="153"/>
      <c r="P919" s="206"/>
    </row>
    <row r="920" spans="1:16" ht="25.5">
      <c r="A920" s="214">
        <v>146</v>
      </c>
      <c r="B920" s="215" t="s">
        <v>1657</v>
      </c>
      <c r="C920" s="17">
        <f t="shared" si="38"/>
        <v>2443368.08</v>
      </c>
      <c r="D920" s="17"/>
      <c r="E920" s="17"/>
      <c r="F920" s="17">
        <v>619</v>
      </c>
      <c r="G920" s="17">
        <v>2443368.08</v>
      </c>
      <c r="H920" s="8"/>
      <c r="I920" s="17"/>
      <c r="J920" s="17"/>
      <c r="K920" s="17"/>
      <c r="L920" s="17"/>
      <c r="M920" s="153"/>
      <c r="N920" s="153"/>
      <c r="O920" s="153"/>
      <c r="P920" s="206"/>
    </row>
    <row r="921" spans="1:16" ht="25.5">
      <c r="A921" s="214">
        <v>147</v>
      </c>
      <c r="B921" s="215" t="s">
        <v>756</v>
      </c>
      <c r="C921" s="17">
        <f t="shared" si="38"/>
        <v>2098442.92</v>
      </c>
      <c r="D921" s="17">
        <v>1568961.61</v>
      </c>
      <c r="E921" s="17">
        <v>529481.31</v>
      </c>
      <c r="F921" s="17"/>
      <c r="G921" s="17"/>
      <c r="H921" s="8"/>
      <c r="I921" s="17"/>
      <c r="J921" s="17"/>
      <c r="K921" s="189"/>
      <c r="L921" s="17"/>
      <c r="M921" s="153"/>
      <c r="N921" s="153"/>
      <c r="O921" s="153"/>
      <c r="P921" s="206"/>
    </row>
    <row r="922" spans="1:16" ht="25.5">
      <c r="A922" s="214">
        <v>148</v>
      </c>
      <c r="B922" s="215" t="s">
        <v>1658</v>
      </c>
      <c r="C922" s="17">
        <f t="shared" si="38"/>
        <v>7047759.96</v>
      </c>
      <c r="D922" s="17">
        <v>6071002.49</v>
      </c>
      <c r="E922" s="17">
        <v>976757.47</v>
      </c>
      <c r="F922" s="17"/>
      <c r="G922" s="17"/>
      <c r="H922" s="8"/>
      <c r="I922" s="17"/>
      <c r="J922" s="17"/>
      <c r="K922" s="17"/>
      <c r="L922" s="17"/>
      <c r="M922" s="153"/>
      <c r="N922" s="153"/>
      <c r="O922" s="153"/>
      <c r="P922" s="206"/>
    </row>
    <row r="923" spans="1:16" ht="25.5">
      <c r="A923" s="214">
        <v>149</v>
      </c>
      <c r="B923" s="215" t="s">
        <v>1659</v>
      </c>
      <c r="C923" s="17">
        <f t="shared" si="38"/>
        <v>1476270.15</v>
      </c>
      <c r="D923" s="17"/>
      <c r="E923" s="17"/>
      <c r="F923" s="17">
        <v>809</v>
      </c>
      <c r="G923" s="17">
        <v>1476270.15</v>
      </c>
      <c r="H923" s="8"/>
      <c r="I923" s="17"/>
      <c r="J923" s="17"/>
      <c r="K923" s="17"/>
      <c r="L923" s="17"/>
      <c r="M923" s="153"/>
      <c r="N923" s="153"/>
      <c r="O923" s="153"/>
      <c r="P923" s="206"/>
    </row>
    <row r="924" spans="1:16" ht="25.5">
      <c r="A924" s="214">
        <v>150</v>
      </c>
      <c r="B924" s="215" t="s">
        <v>371</v>
      </c>
      <c r="C924" s="17">
        <f t="shared" si="38"/>
        <v>2552214.8200000003</v>
      </c>
      <c r="D924" s="17">
        <v>2161740.74</v>
      </c>
      <c r="E924" s="17">
        <v>390474.08</v>
      </c>
      <c r="F924" s="17"/>
      <c r="G924" s="17"/>
      <c r="H924" s="8"/>
      <c r="I924" s="17"/>
      <c r="J924" s="17"/>
      <c r="K924" s="17"/>
      <c r="L924" s="17"/>
      <c r="M924" s="153"/>
      <c r="N924" s="153"/>
      <c r="O924" s="153"/>
      <c r="P924" s="206"/>
    </row>
    <row r="925" spans="1:16" ht="25.5">
      <c r="A925" s="214">
        <v>151</v>
      </c>
      <c r="B925" s="215" t="s">
        <v>174</v>
      </c>
      <c r="C925" s="17">
        <f t="shared" si="38"/>
        <v>5539394.57</v>
      </c>
      <c r="D925" s="17"/>
      <c r="E925" s="17"/>
      <c r="F925" s="17">
        <v>1460</v>
      </c>
      <c r="G925" s="17">
        <v>5539394.57</v>
      </c>
      <c r="H925" s="8"/>
      <c r="I925" s="17"/>
      <c r="J925" s="17"/>
      <c r="K925" s="17"/>
      <c r="L925" s="17"/>
      <c r="M925" s="153"/>
      <c r="N925" s="153"/>
      <c r="O925" s="153"/>
      <c r="P925" s="206"/>
    </row>
    <row r="926" spans="1:16" ht="12.75">
      <c r="A926" s="198"/>
      <c r="B926" s="202" t="s">
        <v>1437</v>
      </c>
      <c r="C926" s="248">
        <f aca="true" t="shared" si="39" ref="C926:K926">SUM(C902:C925)</f>
        <v>122917443.04999998</v>
      </c>
      <c r="D926" s="248">
        <f t="shared" si="39"/>
        <v>81335882.88</v>
      </c>
      <c r="E926" s="248">
        <f t="shared" si="39"/>
        <v>12532962.330000002</v>
      </c>
      <c r="F926" s="248">
        <f t="shared" si="39"/>
        <v>8823.3</v>
      </c>
      <c r="G926" s="248">
        <f t="shared" si="39"/>
        <v>21885066.03</v>
      </c>
      <c r="H926" s="249">
        <f t="shared" si="39"/>
        <v>4</v>
      </c>
      <c r="I926" s="248">
        <f t="shared" si="39"/>
        <v>7163531.81</v>
      </c>
      <c r="J926" s="248">
        <f t="shared" si="39"/>
        <v>0</v>
      </c>
      <c r="K926" s="248">
        <f t="shared" si="39"/>
        <v>0</v>
      </c>
      <c r="L926" s="248"/>
      <c r="M926" s="248"/>
      <c r="N926" s="153"/>
      <c r="O926" s="153"/>
      <c r="P926" s="206"/>
    </row>
    <row r="927" spans="1:16" ht="12.75">
      <c r="A927" s="346" t="s">
        <v>1374</v>
      </c>
      <c r="B927" s="347"/>
      <c r="C927" s="347"/>
      <c r="D927" s="347"/>
      <c r="E927" s="347"/>
      <c r="F927" s="347"/>
      <c r="G927" s="347"/>
      <c r="H927" s="347"/>
      <c r="I927" s="347"/>
      <c r="J927" s="347"/>
      <c r="K927" s="347"/>
      <c r="L927" s="347"/>
      <c r="M927" s="347"/>
      <c r="N927" s="347"/>
      <c r="O927" s="347"/>
      <c r="P927" s="348"/>
    </row>
    <row r="928" spans="1:16" ht="38.25">
      <c r="A928" s="214">
        <v>152</v>
      </c>
      <c r="B928" s="215" t="s">
        <v>1130</v>
      </c>
      <c r="C928" s="17">
        <f>D928+E928+G928+I928+K928</f>
        <v>4324465.42</v>
      </c>
      <c r="D928" s="216">
        <v>509028.2</v>
      </c>
      <c r="E928" s="17"/>
      <c r="F928" s="17">
        <v>1166</v>
      </c>
      <c r="G928" s="17">
        <v>3815437.22</v>
      </c>
      <c r="H928" s="17"/>
      <c r="I928" s="153"/>
      <c r="J928" s="153"/>
      <c r="K928" s="153"/>
      <c r="L928" s="153"/>
      <c r="M928" s="153"/>
      <c r="N928" s="153"/>
      <c r="O928" s="153"/>
      <c r="P928" s="206"/>
    </row>
    <row r="929" spans="1:16" ht="12.75">
      <c r="A929" s="214">
        <v>153</v>
      </c>
      <c r="B929" s="215" t="s">
        <v>829</v>
      </c>
      <c r="C929" s="17">
        <f>D929+E929+G929+I929+K929</f>
        <v>6003583.53</v>
      </c>
      <c r="D929" s="17">
        <v>6003583.53</v>
      </c>
      <c r="E929" s="17"/>
      <c r="F929" s="17"/>
      <c r="G929" s="17"/>
      <c r="H929" s="17"/>
      <c r="I929" s="153"/>
      <c r="J929" s="153"/>
      <c r="K929" s="153"/>
      <c r="L929" s="153"/>
      <c r="M929" s="153"/>
      <c r="N929" s="153"/>
      <c r="O929" s="153"/>
      <c r="P929" s="206"/>
    </row>
    <row r="930" spans="1:16" ht="25.5">
      <c r="A930" s="214">
        <v>154</v>
      </c>
      <c r="B930" s="215" t="s">
        <v>830</v>
      </c>
      <c r="C930" s="17">
        <f>D930+E930+G930+I930+K930</f>
        <v>3063061.02</v>
      </c>
      <c r="D930" s="17">
        <v>3063061.02</v>
      </c>
      <c r="E930" s="17"/>
      <c r="F930" s="17"/>
      <c r="G930" s="17"/>
      <c r="H930" s="17"/>
      <c r="I930" s="153"/>
      <c r="J930" s="153"/>
      <c r="K930" s="153"/>
      <c r="L930" s="153"/>
      <c r="M930" s="153"/>
      <c r="N930" s="153"/>
      <c r="O930" s="153"/>
      <c r="P930" s="206"/>
    </row>
    <row r="931" spans="1:16" ht="25.5">
      <c r="A931" s="214">
        <v>155</v>
      </c>
      <c r="B931" s="215" t="s">
        <v>831</v>
      </c>
      <c r="C931" s="17">
        <f>D931+E931+G931+I931+K931</f>
        <v>1474925.6</v>
      </c>
      <c r="D931" s="17">
        <v>1474925.6</v>
      </c>
      <c r="E931" s="17"/>
      <c r="F931" s="17"/>
      <c r="G931" s="17"/>
      <c r="H931" s="17"/>
      <c r="I931" s="153"/>
      <c r="J931" s="153"/>
      <c r="K931" s="153"/>
      <c r="L931" s="153"/>
      <c r="M931" s="153"/>
      <c r="N931" s="153"/>
      <c r="O931" s="153"/>
      <c r="P931" s="206"/>
    </row>
    <row r="932" spans="1:16" ht="25.5">
      <c r="A932" s="214">
        <v>156</v>
      </c>
      <c r="B932" s="215" t="s">
        <v>629</v>
      </c>
      <c r="C932" s="17">
        <f>D932+E932+G932+I932+K932</f>
        <v>6750418</v>
      </c>
      <c r="D932" s="216">
        <v>3902714.42</v>
      </c>
      <c r="E932" s="17"/>
      <c r="F932" s="17">
        <v>930</v>
      </c>
      <c r="G932" s="17">
        <v>2847703.58</v>
      </c>
      <c r="H932" s="17"/>
      <c r="I932" s="153"/>
      <c r="J932" s="153"/>
      <c r="K932" s="153"/>
      <c r="L932" s="153"/>
      <c r="M932" s="153"/>
      <c r="N932" s="153"/>
      <c r="O932" s="153"/>
      <c r="P932" s="206"/>
    </row>
    <row r="933" spans="1:16" ht="12.75">
      <c r="A933" s="198"/>
      <c r="B933" s="202" t="s">
        <v>1437</v>
      </c>
      <c r="C933" s="218">
        <f>SUM(C928:C932)</f>
        <v>21616453.57</v>
      </c>
      <c r="D933" s="218">
        <f>SUM(D928:D932)</f>
        <v>14953312.77</v>
      </c>
      <c r="E933" s="218"/>
      <c r="F933" s="218">
        <f>SUM(F928:F932)</f>
        <v>2096</v>
      </c>
      <c r="G933" s="218">
        <f>SUM(G928:G932)</f>
        <v>6663140.800000001</v>
      </c>
      <c r="H933" s="153"/>
      <c r="I933" s="153"/>
      <c r="J933" s="153"/>
      <c r="K933" s="153"/>
      <c r="L933" s="153"/>
      <c r="M933" s="153"/>
      <c r="N933" s="153"/>
      <c r="O933" s="153"/>
      <c r="P933" s="206"/>
    </row>
    <row r="934" spans="1:16" ht="12.75">
      <c r="A934" s="346" t="s">
        <v>1375</v>
      </c>
      <c r="B934" s="347"/>
      <c r="C934" s="347"/>
      <c r="D934" s="347"/>
      <c r="E934" s="347"/>
      <c r="F934" s="347"/>
      <c r="G934" s="347"/>
      <c r="H934" s="347"/>
      <c r="I934" s="347"/>
      <c r="J934" s="347"/>
      <c r="K934" s="347"/>
      <c r="L934" s="347"/>
      <c r="M934" s="347"/>
      <c r="N934" s="347"/>
      <c r="O934" s="347"/>
      <c r="P934" s="348"/>
    </row>
    <row r="935" spans="1:16" ht="25.5">
      <c r="A935" s="224">
        <v>157</v>
      </c>
      <c r="B935" s="241" t="s">
        <v>1131</v>
      </c>
      <c r="C935" s="17">
        <f>D935+E935+G935+I935+K935+M935+O935+P935</f>
        <v>2280994.17</v>
      </c>
      <c r="D935" s="216">
        <v>127388.27</v>
      </c>
      <c r="E935" s="216"/>
      <c r="F935" s="216">
        <v>529</v>
      </c>
      <c r="G935" s="216">
        <v>2153605.9</v>
      </c>
      <c r="H935" s="216"/>
      <c r="I935" s="216"/>
      <c r="J935" s="216"/>
      <c r="K935" s="216"/>
      <c r="L935" s="216"/>
      <c r="M935" s="216"/>
      <c r="N935" s="216"/>
      <c r="O935" s="216"/>
      <c r="P935" s="251"/>
    </row>
    <row r="936" spans="1:16" ht="25.5">
      <c r="A936" s="224">
        <v>158</v>
      </c>
      <c r="B936" s="241" t="s">
        <v>1132</v>
      </c>
      <c r="C936" s="17">
        <f aca="true" t="shared" si="40" ref="C936:C992">D936+E936+G936+I936+K936+M936+O936+P936</f>
        <v>5087945.0600000005</v>
      </c>
      <c r="D936" s="216">
        <v>2763740.54</v>
      </c>
      <c r="E936" s="216">
        <v>303739.44</v>
      </c>
      <c r="F936" s="216">
        <v>529</v>
      </c>
      <c r="G936" s="216">
        <v>2020465.08</v>
      </c>
      <c r="H936" s="216"/>
      <c r="I936" s="216"/>
      <c r="J936" s="216"/>
      <c r="K936" s="216"/>
      <c r="L936" s="216"/>
      <c r="M936" s="216"/>
      <c r="N936" s="216"/>
      <c r="O936" s="216"/>
      <c r="P936" s="251"/>
    </row>
    <row r="937" spans="1:16" ht="25.5">
      <c r="A937" s="224">
        <v>159</v>
      </c>
      <c r="B937" s="241" t="s">
        <v>1133</v>
      </c>
      <c r="C937" s="17">
        <f t="shared" si="40"/>
        <v>7327795.67</v>
      </c>
      <c r="D937" s="216">
        <v>3104432.82</v>
      </c>
      <c r="E937" s="216">
        <v>376394.14</v>
      </c>
      <c r="F937" s="216">
        <v>998</v>
      </c>
      <c r="G937" s="216">
        <v>3846968.71</v>
      </c>
      <c r="H937" s="216"/>
      <c r="I937" s="216"/>
      <c r="J937" s="216"/>
      <c r="K937" s="216"/>
      <c r="L937" s="216"/>
      <c r="M937" s="216"/>
      <c r="N937" s="216"/>
      <c r="O937" s="216"/>
      <c r="P937" s="251"/>
    </row>
    <row r="938" spans="1:16" ht="25.5">
      <c r="A938" s="224">
        <v>160</v>
      </c>
      <c r="B938" s="241" t="s">
        <v>1134</v>
      </c>
      <c r="C938" s="17">
        <f t="shared" si="40"/>
        <v>2602099.14</v>
      </c>
      <c r="D938" s="216">
        <v>529138.02</v>
      </c>
      <c r="E938" s="216"/>
      <c r="F938" s="216">
        <v>613</v>
      </c>
      <c r="G938" s="216">
        <v>2072961.12</v>
      </c>
      <c r="H938" s="216"/>
      <c r="I938" s="216"/>
      <c r="J938" s="216"/>
      <c r="K938" s="216"/>
      <c r="L938" s="216"/>
      <c r="M938" s="216"/>
      <c r="N938" s="216"/>
      <c r="O938" s="216"/>
      <c r="P938" s="251"/>
    </row>
    <row r="939" spans="1:16" ht="25.5">
      <c r="A939" s="224">
        <v>161</v>
      </c>
      <c r="B939" s="241" t="s">
        <v>711</v>
      </c>
      <c r="C939" s="17">
        <f t="shared" si="40"/>
        <v>4837901.239999999</v>
      </c>
      <c r="D939" s="216">
        <v>1275299.38</v>
      </c>
      <c r="E939" s="216"/>
      <c r="F939" s="216"/>
      <c r="G939" s="216"/>
      <c r="H939" s="216"/>
      <c r="I939" s="216"/>
      <c r="J939" s="216">
        <v>519</v>
      </c>
      <c r="K939" s="216">
        <v>3496063.06</v>
      </c>
      <c r="L939" s="216"/>
      <c r="M939" s="216"/>
      <c r="N939" s="216"/>
      <c r="O939" s="216"/>
      <c r="P939" s="251">
        <v>66538.8</v>
      </c>
    </row>
    <row r="940" spans="1:16" ht="25.5">
      <c r="A940" s="224">
        <v>162</v>
      </c>
      <c r="B940" s="241" t="s">
        <v>1053</v>
      </c>
      <c r="C940" s="17">
        <f t="shared" si="40"/>
        <v>907017.96</v>
      </c>
      <c r="D940" s="216"/>
      <c r="E940" s="216"/>
      <c r="F940" s="216">
        <v>236</v>
      </c>
      <c r="G940" s="17">
        <v>907017.96</v>
      </c>
      <c r="H940" s="216"/>
      <c r="I940" s="216"/>
      <c r="J940" s="216"/>
      <c r="K940" s="216"/>
      <c r="L940" s="216"/>
      <c r="M940" s="216"/>
      <c r="N940" s="216"/>
      <c r="O940" s="216"/>
      <c r="P940" s="251"/>
    </row>
    <row r="941" spans="1:16" ht="25.5">
      <c r="A941" s="224">
        <v>163</v>
      </c>
      <c r="B941" s="241" t="s">
        <v>597</v>
      </c>
      <c r="C941" s="17">
        <f t="shared" si="40"/>
        <v>1372920.55</v>
      </c>
      <c r="D941" s="216">
        <v>1372920.55</v>
      </c>
      <c r="E941" s="216"/>
      <c r="F941" s="216"/>
      <c r="G941" s="216"/>
      <c r="H941" s="216"/>
      <c r="I941" s="216"/>
      <c r="J941" s="216"/>
      <c r="K941" s="216"/>
      <c r="L941" s="216"/>
      <c r="M941" s="216"/>
      <c r="N941" s="216"/>
      <c r="O941" s="216"/>
      <c r="P941" s="251"/>
    </row>
    <row r="942" spans="1:16" ht="25.5">
      <c r="A942" s="224">
        <v>164</v>
      </c>
      <c r="B942" s="241" t="s">
        <v>712</v>
      </c>
      <c r="C942" s="17">
        <f t="shared" si="40"/>
        <v>5230593.65</v>
      </c>
      <c r="D942" s="216">
        <v>4845665.98</v>
      </c>
      <c r="E942" s="216">
        <v>384927.67</v>
      </c>
      <c r="F942" s="216"/>
      <c r="G942" s="216"/>
      <c r="H942" s="216"/>
      <c r="I942" s="216"/>
      <c r="J942" s="216"/>
      <c r="K942" s="216"/>
      <c r="L942" s="216"/>
      <c r="M942" s="216"/>
      <c r="N942" s="216"/>
      <c r="O942" s="216"/>
      <c r="P942" s="251"/>
    </row>
    <row r="943" spans="1:16" ht="25.5">
      <c r="A943" s="224">
        <v>165</v>
      </c>
      <c r="B943" s="241" t="s">
        <v>713</v>
      </c>
      <c r="C943" s="17">
        <f t="shared" si="40"/>
        <v>7351602.63</v>
      </c>
      <c r="D943" s="216">
        <v>6615658.46</v>
      </c>
      <c r="E943" s="216">
        <v>735944.17</v>
      </c>
      <c r="F943" s="216"/>
      <c r="G943" s="216"/>
      <c r="H943" s="216"/>
      <c r="I943" s="216"/>
      <c r="J943" s="216"/>
      <c r="K943" s="216"/>
      <c r="L943" s="216"/>
      <c r="M943" s="216"/>
      <c r="N943" s="216"/>
      <c r="O943" s="216"/>
      <c r="P943" s="251"/>
    </row>
    <row r="944" spans="1:16" ht="25.5">
      <c r="A944" s="224">
        <v>166</v>
      </c>
      <c r="B944" s="241" t="s">
        <v>714</v>
      </c>
      <c r="C944" s="17">
        <f t="shared" si="40"/>
        <v>3541462.77</v>
      </c>
      <c r="D944" s="216">
        <v>3141966.36</v>
      </c>
      <c r="E944" s="216">
        <v>399496.41</v>
      </c>
      <c r="F944" s="216"/>
      <c r="G944" s="216"/>
      <c r="H944" s="216"/>
      <c r="I944" s="216"/>
      <c r="J944" s="216"/>
      <c r="K944" s="216"/>
      <c r="L944" s="216"/>
      <c r="M944" s="216"/>
      <c r="N944" s="216"/>
      <c r="O944" s="216"/>
      <c r="P944" s="251"/>
    </row>
    <row r="945" spans="1:16" ht="25.5">
      <c r="A945" s="224">
        <v>167</v>
      </c>
      <c r="B945" s="241" t="s">
        <v>598</v>
      </c>
      <c r="C945" s="17">
        <f t="shared" si="40"/>
        <v>1720505.21</v>
      </c>
      <c r="D945" s="216">
        <v>1279115.01</v>
      </c>
      <c r="E945" s="216">
        <v>441390.2</v>
      </c>
      <c r="F945" s="216"/>
      <c r="G945" s="216"/>
      <c r="H945" s="216"/>
      <c r="I945" s="216"/>
      <c r="J945" s="216"/>
      <c r="K945" s="216"/>
      <c r="L945" s="216"/>
      <c r="M945" s="216"/>
      <c r="N945" s="216"/>
      <c r="O945" s="216"/>
      <c r="P945" s="251"/>
    </row>
    <row r="946" spans="1:16" ht="25.5">
      <c r="A946" s="224">
        <v>168</v>
      </c>
      <c r="B946" s="241" t="s">
        <v>599</v>
      </c>
      <c r="C946" s="17">
        <f t="shared" si="40"/>
        <v>177139.78</v>
      </c>
      <c r="D946" s="17">
        <v>177139.78</v>
      </c>
      <c r="E946" s="216"/>
      <c r="F946" s="216"/>
      <c r="G946" s="216"/>
      <c r="H946" s="216"/>
      <c r="I946" s="216"/>
      <c r="J946" s="216"/>
      <c r="K946" s="216"/>
      <c r="L946" s="216"/>
      <c r="M946" s="216"/>
      <c r="N946" s="216"/>
      <c r="O946" s="216"/>
      <c r="P946" s="251"/>
    </row>
    <row r="947" spans="1:16" ht="25.5">
      <c r="A947" s="224">
        <v>169</v>
      </c>
      <c r="B947" s="241" t="s">
        <v>600</v>
      </c>
      <c r="C947" s="17">
        <f t="shared" si="40"/>
        <v>1108430.77</v>
      </c>
      <c r="D947" s="17">
        <v>1108430.77</v>
      </c>
      <c r="E947" s="216"/>
      <c r="F947" s="216"/>
      <c r="G947" s="216"/>
      <c r="H947" s="216"/>
      <c r="I947" s="216"/>
      <c r="J947" s="216"/>
      <c r="K947" s="216"/>
      <c r="L947" s="216"/>
      <c r="M947" s="216"/>
      <c r="N947" s="216"/>
      <c r="O947" s="216"/>
      <c r="P947" s="251"/>
    </row>
    <row r="948" spans="1:16" ht="25.5">
      <c r="A948" s="224">
        <v>170</v>
      </c>
      <c r="B948" s="241" t="s">
        <v>715</v>
      </c>
      <c r="C948" s="17">
        <f t="shared" si="40"/>
        <v>3949792.7299999995</v>
      </c>
      <c r="D948" s="216">
        <v>1533871.99</v>
      </c>
      <c r="E948" s="216">
        <v>706581.6</v>
      </c>
      <c r="F948" s="216">
        <v>807.6</v>
      </c>
      <c r="G948" s="216">
        <v>1709339.14</v>
      </c>
      <c r="H948" s="216"/>
      <c r="I948" s="216"/>
      <c r="J948" s="216"/>
      <c r="K948" s="216"/>
      <c r="L948" s="216"/>
      <c r="M948" s="216"/>
      <c r="N948" s="216"/>
      <c r="O948" s="216"/>
      <c r="P948" s="251"/>
    </row>
    <row r="949" spans="1:16" ht="25.5">
      <c r="A949" s="224">
        <v>171</v>
      </c>
      <c r="B949" s="241" t="s">
        <v>716</v>
      </c>
      <c r="C949" s="17">
        <f t="shared" si="40"/>
        <v>5070741.23</v>
      </c>
      <c r="D949" s="17">
        <v>5070741.23</v>
      </c>
      <c r="E949" s="216"/>
      <c r="F949" s="216"/>
      <c r="G949" s="216"/>
      <c r="H949" s="216"/>
      <c r="I949" s="216"/>
      <c r="J949" s="216"/>
      <c r="K949" s="216"/>
      <c r="L949" s="216"/>
      <c r="M949" s="216"/>
      <c r="N949" s="216"/>
      <c r="O949" s="216"/>
      <c r="P949" s="251"/>
    </row>
    <row r="950" spans="1:16" ht="25.5">
      <c r="A950" s="224">
        <v>172</v>
      </c>
      <c r="B950" s="241" t="s">
        <v>717</v>
      </c>
      <c r="C950" s="17">
        <f t="shared" si="40"/>
        <v>5748627.25</v>
      </c>
      <c r="D950" s="216">
        <v>3032064.23</v>
      </c>
      <c r="E950" s="216">
        <v>567220.91</v>
      </c>
      <c r="F950" s="216">
        <v>1281</v>
      </c>
      <c r="G950" s="216">
        <v>2149342.11</v>
      </c>
      <c r="H950" s="216"/>
      <c r="I950" s="216"/>
      <c r="J950" s="216"/>
      <c r="K950" s="216"/>
      <c r="L950" s="216"/>
      <c r="M950" s="216"/>
      <c r="N950" s="216"/>
      <c r="O950" s="216"/>
      <c r="P950" s="251"/>
    </row>
    <row r="951" spans="1:16" ht="25.5">
      <c r="A951" s="224">
        <v>173</v>
      </c>
      <c r="B951" s="241" t="s">
        <v>601</v>
      </c>
      <c r="C951" s="17">
        <f t="shared" si="40"/>
        <v>8007437.4399999995</v>
      </c>
      <c r="D951" s="216">
        <v>6178188.56</v>
      </c>
      <c r="E951" s="216">
        <v>1829248.88</v>
      </c>
      <c r="F951" s="216"/>
      <c r="G951" s="216"/>
      <c r="H951" s="216"/>
      <c r="I951" s="216"/>
      <c r="J951" s="216"/>
      <c r="K951" s="216"/>
      <c r="L951" s="216"/>
      <c r="M951" s="216"/>
      <c r="N951" s="216"/>
      <c r="O951" s="216"/>
      <c r="P951" s="251"/>
    </row>
    <row r="952" spans="1:16" ht="25.5">
      <c r="A952" s="224">
        <v>174</v>
      </c>
      <c r="B952" s="241" t="s">
        <v>698</v>
      </c>
      <c r="C952" s="17">
        <f t="shared" si="40"/>
        <v>3264936.38</v>
      </c>
      <c r="D952" s="216">
        <v>1886465.08</v>
      </c>
      <c r="E952" s="216"/>
      <c r="F952" s="216">
        <v>802.9</v>
      </c>
      <c r="G952" s="216">
        <v>1378471.3</v>
      </c>
      <c r="H952" s="216"/>
      <c r="I952" s="216"/>
      <c r="J952" s="216"/>
      <c r="K952" s="216"/>
      <c r="L952" s="216"/>
      <c r="M952" s="216"/>
      <c r="N952" s="216"/>
      <c r="O952" s="216"/>
      <c r="P952" s="251"/>
    </row>
    <row r="953" spans="1:16" ht="25.5">
      <c r="A953" s="224">
        <v>175</v>
      </c>
      <c r="B953" s="241" t="s">
        <v>1137</v>
      </c>
      <c r="C953" s="17">
        <f t="shared" si="40"/>
        <v>7993350.01</v>
      </c>
      <c r="D953" s="216"/>
      <c r="E953" s="216"/>
      <c r="F953" s="216"/>
      <c r="G953" s="216"/>
      <c r="H953" s="225">
        <v>5</v>
      </c>
      <c r="I953" s="17">
        <v>7993350.01</v>
      </c>
      <c r="J953" s="216"/>
      <c r="K953" s="216"/>
      <c r="L953" s="216"/>
      <c r="M953" s="216"/>
      <c r="N953" s="216"/>
      <c r="O953" s="216"/>
      <c r="P953" s="251"/>
    </row>
    <row r="954" spans="1:16" ht="25.5">
      <c r="A954" s="224">
        <v>176</v>
      </c>
      <c r="B954" s="241" t="s">
        <v>1138</v>
      </c>
      <c r="C954" s="17">
        <f t="shared" si="40"/>
        <v>12789360</v>
      </c>
      <c r="D954" s="216"/>
      <c r="E954" s="216"/>
      <c r="F954" s="216"/>
      <c r="G954" s="216"/>
      <c r="H954" s="225">
        <v>8</v>
      </c>
      <c r="I954" s="17">
        <v>12789360</v>
      </c>
      <c r="J954" s="216"/>
      <c r="K954" s="216"/>
      <c r="L954" s="216"/>
      <c r="M954" s="216"/>
      <c r="N954" s="216"/>
      <c r="O954" s="216"/>
      <c r="P954" s="251"/>
    </row>
    <row r="955" spans="1:16" ht="25.5">
      <c r="A955" s="224">
        <v>177</v>
      </c>
      <c r="B955" s="241" t="s">
        <v>1136</v>
      </c>
      <c r="C955" s="17">
        <f t="shared" si="40"/>
        <v>1598670</v>
      </c>
      <c r="D955" s="216"/>
      <c r="E955" s="216"/>
      <c r="F955" s="216"/>
      <c r="G955" s="216"/>
      <c r="H955" s="225">
        <v>1</v>
      </c>
      <c r="I955" s="17">
        <v>1598670</v>
      </c>
      <c r="J955" s="216"/>
      <c r="K955" s="216"/>
      <c r="L955" s="216"/>
      <c r="M955" s="216"/>
      <c r="N955" s="216"/>
      <c r="O955" s="216"/>
      <c r="P955" s="251"/>
    </row>
    <row r="956" spans="1:16" ht="25.5">
      <c r="A956" s="224">
        <v>178</v>
      </c>
      <c r="B956" s="241" t="s">
        <v>1139</v>
      </c>
      <c r="C956" s="17">
        <f t="shared" si="40"/>
        <v>3885976.49</v>
      </c>
      <c r="D956" s="216">
        <v>2287306.49</v>
      </c>
      <c r="E956" s="216"/>
      <c r="F956" s="216"/>
      <c r="G956" s="216"/>
      <c r="H956" s="225">
        <v>1</v>
      </c>
      <c r="I956" s="216">
        <v>1598670</v>
      </c>
      <c r="J956" s="216"/>
      <c r="K956" s="216"/>
      <c r="L956" s="216"/>
      <c r="M956" s="216"/>
      <c r="N956" s="216"/>
      <c r="O956" s="216"/>
      <c r="P956" s="251"/>
    </row>
    <row r="957" spans="1:16" ht="25.5">
      <c r="A957" s="224">
        <v>179</v>
      </c>
      <c r="B957" s="241" t="s">
        <v>1140</v>
      </c>
      <c r="C957" s="17">
        <f t="shared" si="40"/>
        <v>3880942.96</v>
      </c>
      <c r="D957" s="216">
        <v>2282272.96</v>
      </c>
      <c r="E957" s="216"/>
      <c r="F957" s="216"/>
      <c r="G957" s="216"/>
      <c r="H957" s="225">
        <v>1</v>
      </c>
      <c r="I957" s="216">
        <v>1598670</v>
      </c>
      <c r="J957" s="216"/>
      <c r="K957" s="216"/>
      <c r="L957" s="216"/>
      <c r="M957" s="216"/>
      <c r="N957" s="216"/>
      <c r="O957" s="216"/>
      <c r="P957" s="251"/>
    </row>
    <row r="958" spans="1:16" ht="25.5">
      <c r="A958" s="224">
        <v>180</v>
      </c>
      <c r="B958" s="241" t="s">
        <v>791</v>
      </c>
      <c r="C958" s="17">
        <f t="shared" si="40"/>
        <v>7993350</v>
      </c>
      <c r="D958" s="216"/>
      <c r="E958" s="216"/>
      <c r="F958" s="216"/>
      <c r="G958" s="216"/>
      <c r="H958" s="225">
        <v>5</v>
      </c>
      <c r="I958" s="17">
        <v>7993350</v>
      </c>
      <c r="J958" s="216"/>
      <c r="K958" s="216"/>
      <c r="L958" s="216"/>
      <c r="M958" s="216"/>
      <c r="N958" s="216"/>
      <c r="O958" s="216"/>
      <c r="P958" s="251"/>
    </row>
    <row r="959" spans="1:16" ht="25.5">
      <c r="A959" s="224">
        <v>181</v>
      </c>
      <c r="B959" s="241" t="s">
        <v>1625</v>
      </c>
      <c r="C959" s="17">
        <f t="shared" si="40"/>
        <v>14388030</v>
      </c>
      <c r="D959" s="216"/>
      <c r="E959" s="216"/>
      <c r="F959" s="216"/>
      <c r="G959" s="216"/>
      <c r="H959" s="225">
        <v>9</v>
      </c>
      <c r="I959" s="17">
        <v>14388030</v>
      </c>
      <c r="J959" s="216"/>
      <c r="K959" s="216"/>
      <c r="L959" s="216"/>
      <c r="M959" s="216"/>
      <c r="N959" s="216"/>
      <c r="O959" s="216"/>
      <c r="P959" s="251"/>
    </row>
    <row r="960" spans="1:16" ht="25.5">
      <c r="A960" s="224">
        <v>182</v>
      </c>
      <c r="B960" s="241" t="s">
        <v>1626</v>
      </c>
      <c r="C960" s="17">
        <f t="shared" si="40"/>
        <v>5257084.33</v>
      </c>
      <c r="D960" s="216"/>
      <c r="E960" s="216"/>
      <c r="F960" s="216"/>
      <c r="G960" s="216"/>
      <c r="H960" s="225">
        <v>3</v>
      </c>
      <c r="I960" s="17">
        <v>5257084.33</v>
      </c>
      <c r="J960" s="216"/>
      <c r="K960" s="216"/>
      <c r="L960" s="216"/>
      <c r="M960" s="216"/>
      <c r="N960" s="216"/>
      <c r="O960" s="216"/>
      <c r="P960" s="251"/>
    </row>
    <row r="961" spans="1:16" ht="25.5">
      <c r="A961" s="224">
        <v>183</v>
      </c>
      <c r="B961" s="241" t="s">
        <v>1627</v>
      </c>
      <c r="C961" s="17">
        <f t="shared" si="40"/>
        <v>5293666.45</v>
      </c>
      <c r="D961" s="216"/>
      <c r="E961" s="216"/>
      <c r="F961" s="216"/>
      <c r="G961" s="216"/>
      <c r="H961" s="225">
        <v>3</v>
      </c>
      <c r="I961" s="17">
        <v>5293666.45</v>
      </c>
      <c r="J961" s="216"/>
      <c r="K961" s="216"/>
      <c r="L961" s="216"/>
      <c r="M961" s="216"/>
      <c r="N961" s="216"/>
      <c r="O961" s="216"/>
      <c r="P961" s="251"/>
    </row>
    <row r="962" spans="1:16" ht="25.5">
      <c r="A962" s="224">
        <v>184</v>
      </c>
      <c r="B962" s="241" t="s">
        <v>602</v>
      </c>
      <c r="C962" s="17">
        <f t="shared" si="40"/>
        <v>7710840.6</v>
      </c>
      <c r="D962" s="216">
        <v>2954022.03</v>
      </c>
      <c r="E962" s="216"/>
      <c r="F962" s="216">
        <v>1981</v>
      </c>
      <c r="G962" s="216">
        <v>4756818.57</v>
      </c>
      <c r="H962" s="216"/>
      <c r="I962" s="216"/>
      <c r="J962" s="216"/>
      <c r="K962" s="216"/>
      <c r="L962" s="216"/>
      <c r="M962" s="216"/>
      <c r="N962" s="216"/>
      <c r="O962" s="216"/>
      <c r="P962" s="251"/>
    </row>
    <row r="963" spans="1:16" ht="25.5">
      <c r="A963" s="224">
        <v>185</v>
      </c>
      <c r="B963" s="241" t="s">
        <v>603</v>
      </c>
      <c r="C963" s="17">
        <f t="shared" si="40"/>
        <v>6110687.73</v>
      </c>
      <c r="D963" s="216">
        <v>3189433.13</v>
      </c>
      <c r="E963" s="216">
        <v>370350.1</v>
      </c>
      <c r="F963" s="216">
        <v>950</v>
      </c>
      <c r="G963" s="216">
        <v>2550904.5</v>
      </c>
      <c r="H963" s="216"/>
      <c r="I963" s="216"/>
      <c r="J963" s="216"/>
      <c r="K963" s="216"/>
      <c r="L963" s="216"/>
      <c r="M963" s="216"/>
      <c r="N963" s="216"/>
      <c r="O963" s="216"/>
      <c r="P963" s="251"/>
    </row>
    <row r="964" spans="1:16" ht="25.5">
      <c r="A964" s="224">
        <v>186</v>
      </c>
      <c r="B964" s="241" t="s">
        <v>792</v>
      </c>
      <c r="C964" s="17">
        <f t="shared" si="40"/>
        <v>7930224.75</v>
      </c>
      <c r="D964" s="216">
        <v>6972497.51</v>
      </c>
      <c r="E964" s="216">
        <v>957727.24</v>
      </c>
      <c r="F964" s="216"/>
      <c r="G964" s="216"/>
      <c r="H964" s="216"/>
      <c r="I964" s="216"/>
      <c r="J964" s="216"/>
      <c r="K964" s="216"/>
      <c r="L964" s="216"/>
      <c r="M964" s="216"/>
      <c r="N964" s="216"/>
      <c r="O964" s="216"/>
      <c r="P964" s="251"/>
    </row>
    <row r="965" spans="1:16" ht="25.5">
      <c r="A965" s="224">
        <v>187</v>
      </c>
      <c r="B965" s="241" t="s">
        <v>793</v>
      </c>
      <c r="C965" s="17">
        <f t="shared" si="40"/>
        <v>8060615.45</v>
      </c>
      <c r="D965" s="216">
        <v>7376430.55</v>
      </c>
      <c r="E965" s="216">
        <v>684184.9</v>
      </c>
      <c r="F965" s="216"/>
      <c r="G965" s="216"/>
      <c r="H965" s="216"/>
      <c r="I965" s="216"/>
      <c r="J965" s="216"/>
      <c r="K965" s="216"/>
      <c r="L965" s="216"/>
      <c r="M965" s="216"/>
      <c r="N965" s="216"/>
      <c r="O965" s="216"/>
      <c r="P965" s="251"/>
    </row>
    <row r="966" spans="1:16" ht="25.5">
      <c r="A966" s="224">
        <v>188</v>
      </c>
      <c r="B966" s="241" t="s">
        <v>794</v>
      </c>
      <c r="C966" s="17">
        <f t="shared" si="40"/>
        <v>4776046.1</v>
      </c>
      <c r="D966" s="216">
        <v>4459248.02</v>
      </c>
      <c r="E966" s="216">
        <v>316798.08</v>
      </c>
      <c r="F966" s="216"/>
      <c r="G966" s="216"/>
      <c r="H966" s="216"/>
      <c r="I966" s="216"/>
      <c r="J966" s="216"/>
      <c r="K966" s="216"/>
      <c r="L966" s="216"/>
      <c r="M966" s="216"/>
      <c r="N966" s="216"/>
      <c r="O966" s="216"/>
      <c r="P966" s="251"/>
    </row>
    <row r="967" spans="1:16" ht="25.5">
      <c r="A967" s="224">
        <v>189</v>
      </c>
      <c r="B967" s="241" t="s">
        <v>795</v>
      </c>
      <c r="C967" s="17">
        <f t="shared" si="40"/>
        <v>2486839.85</v>
      </c>
      <c r="D967" s="216"/>
      <c r="E967" s="216"/>
      <c r="F967" s="216">
        <v>696.02</v>
      </c>
      <c r="G967" s="17">
        <v>2486839.85</v>
      </c>
      <c r="H967" s="216"/>
      <c r="I967" s="216"/>
      <c r="J967" s="216"/>
      <c r="K967" s="216"/>
      <c r="L967" s="216"/>
      <c r="M967" s="216"/>
      <c r="N967" s="216"/>
      <c r="O967" s="216"/>
      <c r="P967" s="251"/>
    </row>
    <row r="968" spans="1:16" ht="39.75" customHeight="1">
      <c r="A968" s="224">
        <v>190</v>
      </c>
      <c r="B968" s="241" t="s">
        <v>796</v>
      </c>
      <c r="C968" s="17">
        <f t="shared" si="40"/>
        <v>40224859.699999996</v>
      </c>
      <c r="D968" s="216">
        <v>33533655.9</v>
      </c>
      <c r="E968" s="216">
        <v>6691203.8</v>
      </c>
      <c r="F968" s="216"/>
      <c r="G968" s="216"/>
      <c r="H968" s="216"/>
      <c r="I968" s="216"/>
      <c r="J968" s="216"/>
      <c r="K968" s="216"/>
      <c r="L968" s="216"/>
      <c r="M968" s="216"/>
      <c r="N968" s="216"/>
      <c r="O968" s="216"/>
      <c r="P968" s="251"/>
    </row>
    <row r="969" spans="1:16" ht="25.5">
      <c r="A969" s="224">
        <v>191</v>
      </c>
      <c r="B969" s="241" t="s">
        <v>1630</v>
      </c>
      <c r="C969" s="17">
        <f t="shared" si="40"/>
        <v>1362012.77</v>
      </c>
      <c r="D969" s="17">
        <v>1362012.77</v>
      </c>
      <c r="E969" s="216"/>
      <c r="F969" s="216"/>
      <c r="G969" s="216"/>
      <c r="H969" s="216"/>
      <c r="I969" s="216"/>
      <c r="J969" s="216"/>
      <c r="K969" s="216"/>
      <c r="L969" s="216"/>
      <c r="M969" s="216"/>
      <c r="N969" s="216"/>
      <c r="O969" s="216"/>
      <c r="P969" s="251"/>
    </row>
    <row r="970" spans="1:16" ht="25.5">
      <c r="A970" s="224">
        <v>192</v>
      </c>
      <c r="B970" s="241" t="s">
        <v>1631</v>
      </c>
      <c r="C970" s="17">
        <f t="shared" si="40"/>
        <v>2460745.74</v>
      </c>
      <c r="D970" s="216"/>
      <c r="E970" s="216"/>
      <c r="F970" s="216">
        <v>910.3</v>
      </c>
      <c r="G970" s="17">
        <v>2460745.74</v>
      </c>
      <c r="H970" s="216"/>
      <c r="I970" s="216"/>
      <c r="J970" s="216"/>
      <c r="K970" s="216"/>
      <c r="L970" s="216"/>
      <c r="M970" s="216"/>
      <c r="N970" s="216"/>
      <c r="O970" s="216"/>
      <c r="P970" s="251"/>
    </row>
    <row r="971" spans="1:16" ht="25.5">
      <c r="A971" s="224">
        <v>193</v>
      </c>
      <c r="B971" s="241" t="s">
        <v>1632</v>
      </c>
      <c r="C971" s="17">
        <f t="shared" si="40"/>
        <v>2395758.25</v>
      </c>
      <c r="D971" s="17">
        <v>2395758.25</v>
      </c>
      <c r="E971" s="216"/>
      <c r="F971" s="216"/>
      <c r="G971" s="216"/>
      <c r="H971" s="216"/>
      <c r="I971" s="216"/>
      <c r="J971" s="216"/>
      <c r="K971" s="216"/>
      <c r="L971" s="216"/>
      <c r="M971" s="216"/>
      <c r="N971" s="216"/>
      <c r="O971" s="216"/>
      <c r="P971" s="251"/>
    </row>
    <row r="972" spans="1:16" ht="25.5">
      <c r="A972" s="224">
        <v>194</v>
      </c>
      <c r="B972" s="241" t="s">
        <v>1633</v>
      </c>
      <c r="C972" s="17">
        <f t="shared" si="40"/>
        <v>5779020.13</v>
      </c>
      <c r="D972" s="216">
        <v>4951580.13</v>
      </c>
      <c r="E972" s="216">
        <v>827440</v>
      </c>
      <c r="F972" s="216"/>
      <c r="G972" s="216"/>
      <c r="H972" s="216"/>
      <c r="I972" s="216"/>
      <c r="J972" s="216"/>
      <c r="K972" s="216"/>
      <c r="L972" s="216"/>
      <c r="M972" s="216"/>
      <c r="N972" s="216"/>
      <c r="O972" s="216"/>
      <c r="P972" s="251"/>
    </row>
    <row r="973" spans="1:16" ht="25.5">
      <c r="A973" s="224">
        <v>195</v>
      </c>
      <c r="B973" s="241" t="s">
        <v>1634</v>
      </c>
      <c r="C973" s="17">
        <f t="shared" si="40"/>
        <v>6301171.83</v>
      </c>
      <c r="D973" s="216">
        <v>5483742.26</v>
      </c>
      <c r="E973" s="216">
        <v>817429.57</v>
      </c>
      <c r="F973" s="216"/>
      <c r="G973" s="216"/>
      <c r="H973" s="216"/>
      <c r="I973" s="216"/>
      <c r="J973" s="216"/>
      <c r="K973" s="216"/>
      <c r="L973" s="216"/>
      <c r="M973" s="216"/>
      <c r="N973" s="216"/>
      <c r="O973" s="216"/>
      <c r="P973" s="251"/>
    </row>
    <row r="974" spans="1:16" ht="25.5">
      <c r="A974" s="224">
        <v>196</v>
      </c>
      <c r="B974" s="241" t="s">
        <v>1635</v>
      </c>
      <c r="C974" s="17">
        <f t="shared" si="40"/>
        <v>4989788.510000001</v>
      </c>
      <c r="D974" s="216">
        <v>4704718.11</v>
      </c>
      <c r="E974" s="216">
        <v>285070.4</v>
      </c>
      <c r="F974" s="216"/>
      <c r="G974" s="216"/>
      <c r="H974" s="216"/>
      <c r="I974" s="216"/>
      <c r="J974" s="216"/>
      <c r="K974" s="216"/>
      <c r="L974" s="216"/>
      <c r="M974" s="216"/>
      <c r="N974" s="216"/>
      <c r="O974" s="216"/>
      <c r="P974" s="251"/>
    </row>
    <row r="975" spans="1:16" ht="25.5">
      <c r="A975" s="224">
        <v>197</v>
      </c>
      <c r="B975" s="241" t="s">
        <v>699</v>
      </c>
      <c r="C975" s="17">
        <f t="shared" si="40"/>
        <v>12365537.69</v>
      </c>
      <c r="D975" s="216">
        <v>10643820.83</v>
      </c>
      <c r="E975" s="216">
        <v>1721716.86</v>
      </c>
      <c r="F975" s="216"/>
      <c r="G975" s="216"/>
      <c r="H975" s="216"/>
      <c r="I975" s="216"/>
      <c r="J975" s="216"/>
      <c r="K975" s="216"/>
      <c r="L975" s="216"/>
      <c r="M975" s="216"/>
      <c r="N975" s="216"/>
      <c r="O975" s="216"/>
      <c r="P975" s="251"/>
    </row>
    <row r="976" spans="1:16" ht="25.5">
      <c r="A976" s="224">
        <v>198</v>
      </c>
      <c r="B976" s="241" t="s">
        <v>674</v>
      </c>
      <c r="C976" s="17">
        <f t="shared" si="40"/>
        <v>5358645.74</v>
      </c>
      <c r="D976" s="216">
        <v>5128525.01</v>
      </c>
      <c r="E976" s="216">
        <v>230120.73</v>
      </c>
      <c r="F976" s="216"/>
      <c r="G976" s="216"/>
      <c r="H976" s="216"/>
      <c r="I976" s="216"/>
      <c r="J976" s="216"/>
      <c r="K976" s="216"/>
      <c r="L976" s="216"/>
      <c r="M976" s="216"/>
      <c r="N976" s="216"/>
      <c r="O976" s="216"/>
      <c r="P976" s="251"/>
    </row>
    <row r="977" spans="1:16" ht="25.5">
      <c r="A977" s="224">
        <v>199</v>
      </c>
      <c r="B977" s="241" t="s">
        <v>675</v>
      </c>
      <c r="C977" s="17">
        <f t="shared" si="40"/>
        <v>28080000</v>
      </c>
      <c r="D977" s="216"/>
      <c r="E977" s="216"/>
      <c r="F977" s="216"/>
      <c r="G977" s="216"/>
      <c r="H977" s="225">
        <v>13</v>
      </c>
      <c r="I977" s="17">
        <v>28080000</v>
      </c>
      <c r="J977" s="216"/>
      <c r="K977" s="216"/>
      <c r="L977" s="216"/>
      <c r="M977" s="216"/>
      <c r="N977" s="216"/>
      <c r="O977" s="216"/>
      <c r="P977" s="251"/>
    </row>
    <row r="978" spans="1:16" ht="25.5">
      <c r="A978" s="224">
        <v>200</v>
      </c>
      <c r="B978" s="241" t="s">
        <v>676</v>
      </c>
      <c r="C978" s="17">
        <f t="shared" si="40"/>
        <v>5685154.6899999995</v>
      </c>
      <c r="D978" s="216">
        <v>3550713.05</v>
      </c>
      <c r="E978" s="216">
        <v>437811.67</v>
      </c>
      <c r="F978" s="216">
        <v>526.5</v>
      </c>
      <c r="G978" s="216">
        <v>1696629.97</v>
      </c>
      <c r="H978" s="225"/>
      <c r="I978" s="216"/>
      <c r="J978" s="216"/>
      <c r="K978" s="216"/>
      <c r="L978" s="216"/>
      <c r="M978" s="216"/>
      <c r="N978" s="216"/>
      <c r="O978" s="216"/>
      <c r="P978" s="251"/>
    </row>
    <row r="979" spans="1:16" ht="25.5">
      <c r="A979" s="224">
        <v>201</v>
      </c>
      <c r="B979" s="241" t="s">
        <v>677</v>
      </c>
      <c r="C979" s="17">
        <f t="shared" si="40"/>
        <v>8540905.56</v>
      </c>
      <c r="D979" s="216">
        <v>6476605.33</v>
      </c>
      <c r="E979" s="216"/>
      <c r="F979" s="216">
        <v>1213</v>
      </c>
      <c r="G979" s="216">
        <v>2064300.23</v>
      </c>
      <c r="H979" s="216"/>
      <c r="I979" s="216"/>
      <c r="J979" s="216"/>
      <c r="K979" s="216"/>
      <c r="L979" s="216"/>
      <c r="M979" s="216"/>
      <c r="N979" s="216"/>
      <c r="O979" s="216"/>
      <c r="P979" s="251"/>
    </row>
    <row r="980" spans="1:16" ht="25.5">
      <c r="A980" s="224">
        <v>202</v>
      </c>
      <c r="B980" s="241" t="s">
        <v>678</v>
      </c>
      <c r="C980" s="17">
        <f t="shared" si="40"/>
        <v>4590590.9</v>
      </c>
      <c r="D980" s="216">
        <v>3363888.46</v>
      </c>
      <c r="E980" s="216"/>
      <c r="F980" s="216">
        <v>976</v>
      </c>
      <c r="G980" s="216">
        <v>1226702.44</v>
      </c>
      <c r="H980" s="216"/>
      <c r="I980" s="216"/>
      <c r="J980" s="216"/>
      <c r="K980" s="216"/>
      <c r="L980" s="216"/>
      <c r="M980" s="216"/>
      <c r="N980" s="216"/>
      <c r="O980" s="216"/>
      <c r="P980" s="251"/>
    </row>
    <row r="981" spans="1:16" ht="25.5">
      <c r="A981" s="224">
        <v>203</v>
      </c>
      <c r="B981" s="241" t="s">
        <v>232</v>
      </c>
      <c r="C981" s="17">
        <f t="shared" si="40"/>
        <v>2822092.69</v>
      </c>
      <c r="D981" s="216"/>
      <c r="E981" s="216"/>
      <c r="F981" s="216">
        <v>1032</v>
      </c>
      <c r="G981" s="17">
        <v>2822092.69</v>
      </c>
      <c r="H981" s="216"/>
      <c r="I981" s="216"/>
      <c r="J981" s="216"/>
      <c r="K981" s="216"/>
      <c r="L981" s="216"/>
      <c r="M981" s="216"/>
      <c r="N981" s="216"/>
      <c r="O981" s="216"/>
      <c r="P981" s="251"/>
    </row>
    <row r="982" spans="1:16" ht="25.5">
      <c r="A982" s="224">
        <v>204</v>
      </c>
      <c r="B982" s="241" t="s">
        <v>258</v>
      </c>
      <c r="C982" s="17">
        <f t="shared" si="40"/>
        <v>1235512.36</v>
      </c>
      <c r="D982" s="17">
        <v>1235512.36</v>
      </c>
      <c r="E982" s="216"/>
      <c r="F982" s="216"/>
      <c r="G982" s="216"/>
      <c r="H982" s="216"/>
      <c r="I982" s="216"/>
      <c r="J982" s="216"/>
      <c r="K982" s="216"/>
      <c r="L982" s="216"/>
      <c r="M982" s="216"/>
      <c r="N982" s="216"/>
      <c r="O982" s="216"/>
      <c r="P982" s="251"/>
    </row>
    <row r="983" spans="1:16" ht="38.25">
      <c r="A983" s="224">
        <v>205</v>
      </c>
      <c r="B983" s="241" t="s">
        <v>630</v>
      </c>
      <c r="C983" s="17">
        <f t="shared" si="40"/>
        <v>3873982.02</v>
      </c>
      <c r="D983" s="216">
        <v>3340932.33</v>
      </c>
      <c r="E983" s="216">
        <v>533049.69</v>
      </c>
      <c r="F983" s="216"/>
      <c r="G983" s="216"/>
      <c r="H983" s="216"/>
      <c r="I983" s="216"/>
      <c r="J983" s="216"/>
      <c r="K983" s="216"/>
      <c r="L983" s="216"/>
      <c r="M983" s="216"/>
      <c r="N983" s="216"/>
      <c r="O983" s="216"/>
      <c r="P983" s="251"/>
    </row>
    <row r="984" spans="1:16" ht="38.25">
      <c r="A984" s="224">
        <v>206</v>
      </c>
      <c r="B984" s="241" t="s">
        <v>631</v>
      </c>
      <c r="C984" s="17">
        <f t="shared" si="40"/>
        <v>4500515.96</v>
      </c>
      <c r="D984" s="216">
        <v>2392615.26</v>
      </c>
      <c r="E984" s="216"/>
      <c r="F984" s="216">
        <v>928.9</v>
      </c>
      <c r="G984" s="216">
        <v>2107900.7</v>
      </c>
      <c r="H984" s="216"/>
      <c r="I984" s="216"/>
      <c r="J984" s="216"/>
      <c r="K984" s="216"/>
      <c r="L984" s="216"/>
      <c r="M984" s="216"/>
      <c r="N984" s="216"/>
      <c r="O984" s="216"/>
      <c r="P984" s="251"/>
    </row>
    <row r="985" spans="1:16" ht="38.25">
      <c r="A985" s="224">
        <v>207</v>
      </c>
      <c r="B985" s="241" t="s">
        <v>700</v>
      </c>
      <c r="C985" s="17">
        <f t="shared" si="40"/>
        <v>999890</v>
      </c>
      <c r="D985" s="216"/>
      <c r="E985" s="216"/>
      <c r="F985" s="216">
        <v>701.4</v>
      </c>
      <c r="G985" s="17">
        <v>999890</v>
      </c>
      <c r="H985" s="216"/>
      <c r="I985" s="216"/>
      <c r="J985" s="216"/>
      <c r="K985" s="216"/>
      <c r="L985" s="216"/>
      <c r="M985" s="216"/>
      <c r="N985" s="216"/>
      <c r="O985" s="216"/>
      <c r="P985" s="251"/>
    </row>
    <row r="986" spans="1:16" ht="25.5">
      <c r="A986" s="224">
        <v>208</v>
      </c>
      <c r="B986" s="241" t="s">
        <v>679</v>
      </c>
      <c r="C986" s="17">
        <f t="shared" si="40"/>
        <v>10728450</v>
      </c>
      <c r="D986" s="216"/>
      <c r="E986" s="216"/>
      <c r="F986" s="216"/>
      <c r="G986" s="216"/>
      <c r="H986" s="225">
        <v>6</v>
      </c>
      <c r="I986" s="17">
        <v>10728450</v>
      </c>
      <c r="J986" s="216"/>
      <c r="K986" s="216"/>
      <c r="L986" s="216"/>
      <c r="M986" s="216"/>
      <c r="N986" s="216"/>
      <c r="O986" s="216"/>
      <c r="P986" s="251"/>
    </row>
    <row r="987" spans="1:16" ht="25.5">
      <c r="A987" s="224">
        <v>209</v>
      </c>
      <c r="B987" s="241" t="s">
        <v>680</v>
      </c>
      <c r="C987" s="17">
        <f t="shared" si="40"/>
        <v>10728450</v>
      </c>
      <c r="D987" s="216"/>
      <c r="E987" s="216"/>
      <c r="F987" s="216"/>
      <c r="G987" s="216"/>
      <c r="H987" s="225">
        <v>6</v>
      </c>
      <c r="I987" s="17">
        <v>10728450</v>
      </c>
      <c r="J987" s="216"/>
      <c r="K987" s="216"/>
      <c r="L987" s="216"/>
      <c r="M987" s="216"/>
      <c r="N987" s="216"/>
      <c r="O987" s="216"/>
      <c r="P987" s="251"/>
    </row>
    <row r="988" spans="1:16" ht="25.5">
      <c r="A988" s="224">
        <v>210</v>
      </c>
      <c r="B988" s="241" t="s">
        <v>681</v>
      </c>
      <c r="C988" s="17">
        <f t="shared" si="40"/>
        <v>560866.2</v>
      </c>
      <c r="D988" s="17">
        <v>560866.2</v>
      </c>
      <c r="E988" s="216"/>
      <c r="F988" s="216">
        <v>0</v>
      </c>
      <c r="G988" s="216">
        <v>0</v>
      </c>
      <c r="H988" s="216"/>
      <c r="I988" s="216"/>
      <c r="J988" s="216"/>
      <c r="K988" s="216"/>
      <c r="L988" s="216"/>
      <c r="M988" s="216"/>
      <c r="N988" s="216"/>
      <c r="O988" s="216"/>
      <c r="P988" s="251"/>
    </row>
    <row r="989" spans="1:16" ht="25.5">
      <c r="A989" s="224">
        <v>211</v>
      </c>
      <c r="B989" s="241" t="s">
        <v>682</v>
      </c>
      <c r="C989" s="17">
        <f t="shared" si="40"/>
        <v>6938734.58</v>
      </c>
      <c r="D989" s="216">
        <v>5989076</v>
      </c>
      <c r="E989" s="216">
        <v>949658.58</v>
      </c>
      <c r="F989" s="216"/>
      <c r="G989" s="216"/>
      <c r="H989" s="216"/>
      <c r="I989" s="216"/>
      <c r="J989" s="216"/>
      <c r="K989" s="216"/>
      <c r="L989" s="216"/>
      <c r="M989" s="216"/>
      <c r="N989" s="216"/>
      <c r="O989" s="216"/>
      <c r="P989" s="251"/>
    </row>
    <row r="990" spans="1:16" ht="25.5">
      <c r="A990" s="224">
        <v>212</v>
      </c>
      <c r="B990" s="241" t="s">
        <v>1147</v>
      </c>
      <c r="C990" s="17">
        <f t="shared" si="40"/>
        <v>3689817.32</v>
      </c>
      <c r="D990" s="17">
        <v>3689817.32</v>
      </c>
      <c r="E990" s="216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51"/>
    </row>
    <row r="991" spans="1:16" ht="25.5">
      <c r="A991" s="224">
        <v>213</v>
      </c>
      <c r="B991" s="241" t="s">
        <v>276</v>
      </c>
      <c r="C991" s="17">
        <f t="shared" si="40"/>
        <v>18691154</v>
      </c>
      <c r="D991" s="216">
        <v>18247424</v>
      </c>
      <c r="E991" s="216">
        <v>443730</v>
      </c>
      <c r="F991" s="216"/>
      <c r="G991" s="216"/>
      <c r="H991" s="216"/>
      <c r="I991" s="216"/>
      <c r="J991" s="216"/>
      <c r="K991" s="216"/>
      <c r="L991" s="216"/>
      <c r="M991" s="216"/>
      <c r="N991" s="216"/>
      <c r="O991" s="216"/>
      <c r="P991" s="251"/>
    </row>
    <row r="992" spans="1:16" ht="25.5">
      <c r="A992" s="224">
        <v>214</v>
      </c>
      <c r="B992" s="241" t="s">
        <v>5</v>
      </c>
      <c r="C992" s="17">
        <f t="shared" si="40"/>
        <v>1876947.95</v>
      </c>
      <c r="D992" s="216"/>
      <c r="E992" s="216"/>
      <c r="F992" s="216">
        <v>598</v>
      </c>
      <c r="G992" s="17">
        <v>1876947.95</v>
      </c>
      <c r="H992" s="216"/>
      <c r="I992" s="216"/>
      <c r="J992" s="216"/>
      <c r="K992" s="216"/>
      <c r="L992" s="216"/>
      <c r="M992" s="216"/>
      <c r="N992" s="216"/>
      <c r="O992" s="216"/>
      <c r="P992" s="251"/>
    </row>
    <row r="993" spans="1:16" ht="25.5">
      <c r="A993" s="224">
        <v>215</v>
      </c>
      <c r="B993" s="241" t="s">
        <v>808</v>
      </c>
      <c r="C993" s="17">
        <f aca="true" t="shared" si="41" ref="C993:C1039">D993+E993+G993+I993+K993+M993+O993+P993</f>
        <v>4533652.89</v>
      </c>
      <c r="D993" s="216">
        <v>4206914.05</v>
      </c>
      <c r="E993" s="216">
        <v>326738.84</v>
      </c>
      <c r="F993" s="216"/>
      <c r="G993" s="216"/>
      <c r="H993" s="216"/>
      <c r="I993" s="216"/>
      <c r="J993" s="216"/>
      <c r="K993" s="216"/>
      <c r="L993" s="216"/>
      <c r="M993" s="216"/>
      <c r="N993" s="216"/>
      <c r="O993" s="216"/>
      <c r="P993" s="251"/>
    </row>
    <row r="994" spans="1:16" ht="25.5">
      <c r="A994" s="224">
        <v>216</v>
      </c>
      <c r="B994" s="241" t="s">
        <v>800</v>
      </c>
      <c r="C994" s="17">
        <f t="shared" si="41"/>
        <v>10728450</v>
      </c>
      <c r="D994" s="216"/>
      <c r="E994" s="216"/>
      <c r="F994" s="216"/>
      <c r="G994" s="216"/>
      <c r="H994" s="225">
        <v>6</v>
      </c>
      <c r="I994" s="17">
        <v>10728450</v>
      </c>
      <c r="J994" s="216"/>
      <c r="K994" s="216"/>
      <c r="L994" s="216"/>
      <c r="M994" s="216"/>
      <c r="N994" s="216"/>
      <c r="O994" s="216"/>
      <c r="P994" s="251"/>
    </row>
    <row r="995" spans="1:16" ht="25.5">
      <c r="A995" s="224">
        <v>217</v>
      </c>
      <c r="B995" s="241" t="s">
        <v>801</v>
      </c>
      <c r="C995" s="17">
        <f t="shared" si="41"/>
        <v>17880750</v>
      </c>
      <c r="D995" s="216"/>
      <c r="E995" s="216"/>
      <c r="F995" s="216"/>
      <c r="G995" s="216"/>
      <c r="H995" s="225">
        <v>10</v>
      </c>
      <c r="I995" s="17">
        <v>17880750</v>
      </c>
      <c r="J995" s="216"/>
      <c r="K995" s="216"/>
      <c r="L995" s="216"/>
      <c r="M995" s="216"/>
      <c r="N995" s="216"/>
      <c r="O995" s="216"/>
      <c r="P995" s="251"/>
    </row>
    <row r="996" spans="1:16" ht="25.5">
      <c r="A996" s="224">
        <v>218</v>
      </c>
      <c r="B996" s="241" t="s">
        <v>802</v>
      </c>
      <c r="C996" s="17">
        <f t="shared" si="41"/>
        <v>15916669.18</v>
      </c>
      <c r="D996" s="216">
        <v>5479759.36</v>
      </c>
      <c r="E996" s="216"/>
      <c r="F996" s="216"/>
      <c r="G996" s="216"/>
      <c r="H996" s="225">
        <v>6</v>
      </c>
      <c r="I996" s="216">
        <v>10436909.82</v>
      </c>
      <c r="J996" s="216"/>
      <c r="K996" s="216"/>
      <c r="L996" s="216"/>
      <c r="M996" s="216"/>
      <c r="N996" s="216"/>
      <c r="O996" s="216"/>
      <c r="P996" s="251"/>
    </row>
    <row r="997" spans="1:16" ht="25.5">
      <c r="A997" s="224">
        <v>219</v>
      </c>
      <c r="B997" s="241" t="s">
        <v>803</v>
      </c>
      <c r="C997" s="17">
        <f t="shared" si="41"/>
        <v>20905142.08</v>
      </c>
      <c r="D997" s="216"/>
      <c r="E997" s="216"/>
      <c r="F997" s="216"/>
      <c r="G997" s="216"/>
      <c r="H997" s="225">
        <v>12</v>
      </c>
      <c r="I997" s="17">
        <v>20905142.08</v>
      </c>
      <c r="J997" s="216"/>
      <c r="K997" s="216"/>
      <c r="L997" s="216"/>
      <c r="M997" s="216"/>
      <c r="N997" s="216"/>
      <c r="O997" s="216"/>
      <c r="P997" s="251"/>
    </row>
    <row r="998" spans="1:16" ht="25.5">
      <c r="A998" s="224">
        <v>220</v>
      </c>
      <c r="B998" s="241" t="s">
        <v>804</v>
      </c>
      <c r="C998" s="17">
        <f t="shared" si="41"/>
        <v>14081049.59</v>
      </c>
      <c r="D998" s="216"/>
      <c r="E998" s="216"/>
      <c r="F998" s="216"/>
      <c r="G998" s="216"/>
      <c r="H998" s="225">
        <v>8</v>
      </c>
      <c r="I998" s="17">
        <v>14081049.59</v>
      </c>
      <c r="J998" s="216"/>
      <c r="K998" s="216"/>
      <c r="L998" s="216"/>
      <c r="M998" s="216"/>
      <c r="N998" s="216"/>
      <c r="O998" s="216"/>
      <c r="P998" s="251"/>
    </row>
    <row r="999" spans="1:16" ht="25.5">
      <c r="A999" s="224">
        <v>221</v>
      </c>
      <c r="B999" s="241" t="s">
        <v>683</v>
      </c>
      <c r="C999" s="17">
        <f t="shared" si="41"/>
        <v>2966883.63</v>
      </c>
      <c r="D999" s="216"/>
      <c r="E999" s="216"/>
      <c r="F999" s="216">
        <v>780</v>
      </c>
      <c r="G999" s="17">
        <v>2966883.63</v>
      </c>
      <c r="H999" s="216"/>
      <c r="I999" s="216"/>
      <c r="J999" s="216"/>
      <c r="K999" s="216"/>
      <c r="L999" s="216"/>
      <c r="M999" s="216"/>
      <c r="N999" s="216"/>
      <c r="O999" s="216"/>
      <c r="P999" s="251"/>
    </row>
    <row r="1000" spans="1:16" ht="25.5">
      <c r="A1000" s="224">
        <v>222</v>
      </c>
      <c r="B1000" s="241" t="s">
        <v>805</v>
      </c>
      <c r="C1000" s="17">
        <f t="shared" si="41"/>
        <v>3378946.58</v>
      </c>
      <c r="D1000" s="216">
        <v>2894764.71</v>
      </c>
      <c r="E1000" s="216">
        <v>484181.87</v>
      </c>
      <c r="F1000" s="216"/>
      <c r="G1000" s="216"/>
      <c r="H1000" s="216"/>
      <c r="I1000" s="216"/>
      <c r="J1000" s="216"/>
      <c r="K1000" s="216"/>
      <c r="L1000" s="216"/>
      <c r="M1000" s="216"/>
      <c r="N1000" s="216"/>
      <c r="O1000" s="216"/>
      <c r="P1000" s="251"/>
    </row>
    <row r="1001" spans="1:16" ht="25.5">
      <c r="A1001" s="224">
        <v>223</v>
      </c>
      <c r="B1001" s="241" t="s">
        <v>684</v>
      </c>
      <c r="C1001" s="17">
        <f t="shared" si="41"/>
        <v>878115.91</v>
      </c>
      <c r="D1001" s="216"/>
      <c r="E1001" s="216"/>
      <c r="F1001" s="216">
        <v>270</v>
      </c>
      <c r="G1001" s="17">
        <v>878115.91</v>
      </c>
      <c r="H1001" s="216"/>
      <c r="I1001" s="216"/>
      <c r="J1001" s="216"/>
      <c r="K1001" s="216"/>
      <c r="L1001" s="216"/>
      <c r="M1001" s="216"/>
      <c r="N1001" s="216"/>
      <c r="O1001" s="216"/>
      <c r="P1001" s="251"/>
    </row>
    <row r="1002" spans="1:16" ht="25.5">
      <c r="A1002" s="224">
        <v>224</v>
      </c>
      <c r="B1002" s="241" t="s">
        <v>685</v>
      </c>
      <c r="C1002" s="17">
        <f t="shared" si="41"/>
        <v>910580.47</v>
      </c>
      <c r="D1002" s="216"/>
      <c r="E1002" s="216"/>
      <c r="F1002" s="216">
        <v>270.48</v>
      </c>
      <c r="G1002" s="17">
        <v>910580.47</v>
      </c>
      <c r="H1002" s="216"/>
      <c r="I1002" s="216"/>
      <c r="J1002" s="216"/>
      <c r="K1002" s="216"/>
      <c r="L1002" s="216"/>
      <c r="M1002" s="216"/>
      <c r="N1002" s="216"/>
      <c r="O1002" s="216"/>
      <c r="P1002" s="251"/>
    </row>
    <row r="1003" spans="1:16" ht="25.5">
      <c r="A1003" s="224">
        <v>225</v>
      </c>
      <c r="B1003" s="241" t="s">
        <v>780</v>
      </c>
      <c r="C1003" s="17">
        <f t="shared" si="41"/>
        <v>10993216.47</v>
      </c>
      <c r="D1003" s="216">
        <v>9381331.89</v>
      </c>
      <c r="E1003" s="216">
        <v>1611884.58</v>
      </c>
      <c r="F1003" s="216"/>
      <c r="G1003" s="216"/>
      <c r="H1003" s="216"/>
      <c r="I1003" s="216"/>
      <c r="J1003" s="216"/>
      <c r="K1003" s="216"/>
      <c r="L1003" s="216"/>
      <c r="M1003" s="216"/>
      <c r="N1003" s="216"/>
      <c r="O1003" s="216"/>
      <c r="P1003" s="251"/>
    </row>
    <row r="1004" spans="1:16" ht="25.5">
      <c r="A1004" s="224">
        <v>226</v>
      </c>
      <c r="B1004" s="241" t="s">
        <v>686</v>
      </c>
      <c r="C1004" s="17">
        <f t="shared" si="41"/>
        <v>3684540.3600000003</v>
      </c>
      <c r="D1004" s="216">
        <v>3243696.87</v>
      </c>
      <c r="E1004" s="216">
        <v>440843.49</v>
      </c>
      <c r="F1004" s="216"/>
      <c r="G1004" s="216"/>
      <c r="H1004" s="216"/>
      <c r="I1004" s="216"/>
      <c r="J1004" s="216"/>
      <c r="K1004" s="216"/>
      <c r="L1004" s="216"/>
      <c r="M1004" s="216"/>
      <c r="N1004" s="216"/>
      <c r="O1004" s="216"/>
      <c r="P1004" s="251"/>
    </row>
    <row r="1005" spans="1:16" ht="25.5">
      <c r="A1005" s="224">
        <v>227</v>
      </c>
      <c r="B1005" s="241" t="s">
        <v>687</v>
      </c>
      <c r="C1005" s="17">
        <f t="shared" si="41"/>
        <v>1492342.93</v>
      </c>
      <c r="D1005" s="17">
        <v>1492342.93</v>
      </c>
      <c r="E1005" s="216"/>
      <c r="F1005" s="216"/>
      <c r="G1005" s="216"/>
      <c r="H1005" s="216"/>
      <c r="I1005" s="216"/>
      <c r="J1005" s="216"/>
      <c r="K1005" s="216"/>
      <c r="L1005" s="216"/>
      <c r="M1005" s="216"/>
      <c r="N1005" s="216"/>
      <c r="O1005" s="216"/>
      <c r="P1005" s="251"/>
    </row>
    <row r="1006" spans="1:16" ht="38.25">
      <c r="A1006" s="224">
        <v>228</v>
      </c>
      <c r="B1006" s="241" t="s">
        <v>448</v>
      </c>
      <c r="C1006" s="17">
        <f t="shared" si="41"/>
        <v>13089687.65</v>
      </c>
      <c r="D1006" s="17">
        <v>13089687.65</v>
      </c>
      <c r="E1006" s="216"/>
      <c r="F1006" s="216"/>
      <c r="G1006" s="216"/>
      <c r="H1006" s="216"/>
      <c r="I1006" s="216"/>
      <c r="J1006" s="216"/>
      <c r="K1006" s="216"/>
      <c r="L1006" s="216"/>
      <c r="M1006" s="216"/>
      <c r="N1006" s="216"/>
      <c r="O1006" s="216"/>
      <c r="P1006" s="251"/>
    </row>
    <row r="1007" spans="1:16" ht="25.5">
      <c r="A1007" s="224">
        <v>229</v>
      </c>
      <c r="B1007" s="241" t="s">
        <v>449</v>
      </c>
      <c r="C1007" s="17">
        <f t="shared" si="41"/>
        <v>3154268.5</v>
      </c>
      <c r="D1007" s="242"/>
      <c r="E1007" s="242"/>
      <c r="F1007" s="252">
        <v>933.3</v>
      </c>
      <c r="G1007" s="17">
        <v>3154268.5</v>
      </c>
      <c r="H1007" s="242"/>
      <c r="I1007" s="242"/>
      <c r="J1007" s="242"/>
      <c r="K1007" s="242"/>
      <c r="L1007" s="242"/>
      <c r="M1007" s="242"/>
      <c r="N1007" s="216"/>
      <c r="O1007" s="216"/>
      <c r="P1007" s="251"/>
    </row>
    <row r="1008" spans="1:16" ht="25.5">
      <c r="A1008" s="224">
        <v>230</v>
      </c>
      <c r="B1008" s="241" t="s">
        <v>259</v>
      </c>
      <c r="C1008" s="17">
        <f t="shared" si="41"/>
        <v>7248735.09</v>
      </c>
      <c r="D1008" s="242"/>
      <c r="E1008" s="242"/>
      <c r="F1008" s="252">
        <v>2250</v>
      </c>
      <c r="G1008" s="17">
        <v>7248735.09</v>
      </c>
      <c r="H1008" s="242"/>
      <c r="I1008" s="242"/>
      <c r="J1008" s="242"/>
      <c r="K1008" s="242"/>
      <c r="L1008" s="242"/>
      <c r="M1008" s="242"/>
      <c r="N1008" s="216"/>
      <c r="O1008" s="216"/>
      <c r="P1008" s="251"/>
    </row>
    <row r="1009" spans="1:16" ht="25.5">
      <c r="A1009" s="224">
        <v>231</v>
      </c>
      <c r="B1009" s="241" t="s">
        <v>260</v>
      </c>
      <c r="C1009" s="17">
        <f t="shared" si="41"/>
        <v>1854982.73</v>
      </c>
      <c r="D1009" s="242"/>
      <c r="E1009" s="242"/>
      <c r="F1009" s="252">
        <v>1043.8</v>
      </c>
      <c r="G1009" s="17">
        <v>1854982.73</v>
      </c>
      <c r="H1009" s="242"/>
      <c r="I1009" s="242"/>
      <c r="J1009" s="242"/>
      <c r="K1009" s="242"/>
      <c r="L1009" s="242"/>
      <c r="M1009" s="242"/>
      <c r="N1009" s="216"/>
      <c r="O1009" s="216"/>
      <c r="P1009" s="251"/>
    </row>
    <row r="1010" spans="1:16" ht="38.25">
      <c r="A1010" s="224">
        <v>232</v>
      </c>
      <c r="B1010" s="241" t="s">
        <v>1342</v>
      </c>
      <c r="C1010" s="17">
        <f t="shared" si="41"/>
        <v>4557190.27</v>
      </c>
      <c r="D1010" s="242"/>
      <c r="E1010" s="242"/>
      <c r="F1010" s="252"/>
      <c r="G1010" s="252"/>
      <c r="H1010" s="253">
        <v>2</v>
      </c>
      <c r="I1010" s="17">
        <v>4557190.27</v>
      </c>
      <c r="J1010" s="242"/>
      <c r="K1010" s="242"/>
      <c r="L1010" s="242"/>
      <c r="M1010" s="242"/>
      <c r="N1010" s="216"/>
      <c r="O1010" s="216"/>
      <c r="P1010" s="251"/>
    </row>
    <row r="1011" spans="1:16" ht="38.25">
      <c r="A1011" s="224">
        <v>233</v>
      </c>
      <c r="B1011" s="241" t="s">
        <v>450</v>
      </c>
      <c r="C1011" s="17">
        <f t="shared" si="41"/>
        <v>7236219.39</v>
      </c>
      <c r="D1011" s="242"/>
      <c r="E1011" s="242"/>
      <c r="F1011" s="252"/>
      <c r="G1011" s="252"/>
      <c r="H1011" s="253">
        <v>2</v>
      </c>
      <c r="I1011" s="17">
        <v>7236219.39</v>
      </c>
      <c r="J1011" s="242"/>
      <c r="K1011" s="242"/>
      <c r="L1011" s="242"/>
      <c r="M1011" s="242"/>
      <c r="N1011" s="216"/>
      <c r="O1011" s="216"/>
      <c r="P1011" s="251"/>
    </row>
    <row r="1012" spans="1:16" ht="25.5">
      <c r="A1012" s="224">
        <v>234</v>
      </c>
      <c r="B1012" s="241" t="s">
        <v>529</v>
      </c>
      <c r="C1012" s="17">
        <f t="shared" si="41"/>
        <v>1911320.78</v>
      </c>
      <c r="D1012" s="242"/>
      <c r="E1012" s="242"/>
      <c r="F1012" s="252"/>
      <c r="G1012" s="252"/>
      <c r="H1012" s="253">
        <v>1</v>
      </c>
      <c r="I1012" s="17">
        <v>1911320.78</v>
      </c>
      <c r="J1012" s="242"/>
      <c r="K1012" s="242"/>
      <c r="L1012" s="242"/>
      <c r="M1012" s="242"/>
      <c r="N1012" s="216"/>
      <c r="O1012" s="216"/>
      <c r="P1012" s="251"/>
    </row>
    <row r="1013" spans="1:16" ht="25.5">
      <c r="A1013" s="224">
        <v>235</v>
      </c>
      <c r="B1013" s="241" t="s">
        <v>451</v>
      </c>
      <c r="C1013" s="17">
        <f t="shared" si="41"/>
        <v>13504996.87</v>
      </c>
      <c r="D1013" s="17"/>
      <c r="E1013" s="242"/>
      <c r="F1013" s="252"/>
      <c r="G1013" s="252"/>
      <c r="H1013" s="253">
        <v>8</v>
      </c>
      <c r="I1013" s="17">
        <v>13504996.87</v>
      </c>
      <c r="J1013" s="242"/>
      <c r="K1013" s="242"/>
      <c r="L1013" s="242"/>
      <c r="M1013" s="242"/>
      <c r="N1013" s="216"/>
      <c r="O1013" s="216"/>
      <c r="P1013" s="251"/>
    </row>
    <row r="1014" spans="1:16" ht="25.5">
      <c r="A1014" s="224">
        <v>236</v>
      </c>
      <c r="B1014" s="241" t="s">
        <v>1632</v>
      </c>
      <c r="C1014" s="17">
        <f t="shared" si="41"/>
        <v>1108826.16</v>
      </c>
      <c r="D1014" s="17">
        <v>1108826.16</v>
      </c>
      <c r="E1014" s="242"/>
      <c r="F1014" s="252"/>
      <c r="G1014" s="252"/>
      <c r="H1014" s="253"/>
      <c r="I1014" s="252"/>
      <c r="J1014" s="242"/>
      <c r="K1014" s="242"/>
      <c r="L1014" s="242"/>
      <c r="M1014" s="242"/>
      <c r="N1014" s="216"/>
      <c r="O1014" s="216"/>
      <c r="P1014" s="251"/>
    </row>
    <row r="1015" spans="1:16" ht="38.25">
      <c r="A1015" s="224">
        <v>237</v>
      </c>
      <c r="B1015" s="241" t="s">
        <v>452</v>
      </c>
      <c r="C1015" s="17">
        <f t="shared" si="41"/>
        <v>3528852.44</v>
      </c>
      <c r="D1015" s="17">
        <v>3528852.44</v>
      </c>
      <c r="E1015" s="242"/>
      <c r="F1015" s="252"/>
      <c r="G1015" s="252"/>
      <c r="H1015" s="253"/>
      <c r="I1015" s="252"/>
      <c r="J1015" s="242"/>
      <c r="K1015" s="242"/>
      <c r="L1015" s="242"/>
      <c r="M1015" s="242"/>
      <c r="N1015" s="216"/>
      <c r="O1015" s="216"/>
      <c r="P1015" s="251"/>
    </row>
    <row r="1016" spans="1:16" ht="25.5">
      <c r="A1016" s="224">
        <v>238</v>
      </c>
      <c r="B1016" s="241" t="s">
        <v>262</v>
      </c>
      <c r="C1016" s="17">
        <f t="shared" si="41"/>
        <v>11009774.69</v>
      </c>
      <c r="D1016" s="252"/>
      <c r="E1016" s="242"/>
      <c r="F1016" s="252"/>
      <c r="G1016" s="252"/>
      <c r="H1016" s="253">
        <v>6</v>
      </c>
      <c r="I1016" s="17">
        <v>11009774.69</v>
      </c>
      <c r="J1016" s="242"/>
      <c r="K1016" s="242"/>
      <c r="L1016" s="242"/>
      <c r="M1016" s="242"/>
      <c r="N1016" s="216"/>
      <c r="O1016" s="216"/>
      <c r="P1016" s="251"/>
    </row>
    <row r="1017" spans="1:16" ht="15.75" customHeight="1">
      <c r="A1017" s="224">
        <v>239</v>
      </c>
      <c r="B1017" s="241" t="s">
        <v>531</v>
      </c>
      <c r="C1017" s="17">
        <f t="shared" si="41"/>
        <v>10740992.29</v>
      </c>
      <c r="D1017" s="252">
        <v>3981954.37</v>
      </c>
      <c r="E1017" s="242"/>
      <c r="F1017" s="252"/>
      <c r="G1017" s="252"/>
      <c r="H1017" s="253">
        <v>4</v>
      </c>
      <c r="I1017" s="252">
        <v>6759037.92</v>
      </c>
      <c r="J1017" s="242"/>
      <c r="K1017" s="242"/>
      <c r="L1017" s="242"/>
      <c r="M1017" s="242"/>
      <c r="N1017" s="216"/>
      <c r="O1017" s="216"/>
      <c r="P1017" s="251"/>
    </row>
    <row r="1018" spans="1:16" ht="25.5">
      <c r="A1018" s="224">
        <v>240</v>
      </c>
      <c r="B1018" s="241" t="s">
        <v>537</v>
      </c>
      <c r="C1018" s="17">
        <f t="shared" si="41"/>
        <v>9206156.81</v>
      </c>
      <c r="D1018" s="216"/>
      <c r="E1018" s="216"/>
      <c r="F1018" s="252"/>
      <c r="G1018" s="252"/>
      <c r="H1018" s="253">
        <v>5</v>
      </c>
      <c r="I1018" s="17">
        <v>9206156.81</v>
      </c>
      <c r="J1018" s="242"/>
      <c r="K1018" s="242"/>
      <c r="L1018" s="242"/>
      <c r="M1018" s="242"/>
      <c r="N1018" s="216"/>
      <c r="O1018" s="216"/>
      <c r="P1018" s="251"/>
    </row>
    <row r="1019" spans="1:16" ht="25.5">
      <c r="A1019" s="224">
        <v>241</v>
      </c>
      <c r="B1019" s="241" t="s">
        <v>264</v>
      </c>
      <c r="C1019" s="17">
        <f t="shared" si="41"/>
        <v>5546353.99</v>
      </c>
      <c r="D1019" s="216"/>
      <c r="E1019" s="216"/>
      <c r="F1019" s="252"/>
      <c r="G1019" s="252"/>
      <c r="H1019" s="253">
        <v>3</v>
      </c>
      <c r="I1019" s="17">
        <v>5546353.99</v>
      </c>
      <c r="J1019" s="242"/>
      <c r="K1019" s="242"/>
      <c r="L1019" s="242"/>
      <c r="M1019" s="242"/>
      <c r="N1019" s="216"/>
      <c r="O1019" s="216"/>
      <c r="P1019" s="251"/>
    </row>
    <row r="1020" spans="1:16" ht="39.75" customHeight="1">
      <c r="A1020" s="224">
        <v>242</v>
      </c>
      <c r="B1020" s="241" t="s">
        <v>171</v>
      </c>
      <c r="C1020" s="17">
        <f t="shared" si="41"/>
        <v>5028096</v>
      </c>
      <c r="D1020" s="216"/>
      <c r="E1020" s="216"/>
      <c r="F1020" s="252">
        <v>2772</v>
      </c>
      <c r="G1020" s="17">
        <v>5028096</v>
      </c>
      <c r="H1020" s="253"/>
      <c r="I1020" s="252"/>
      <c r="J1020" s="242"/>
      <c r="K1020" s="242"/>
      <c r="L1020" s="242"/>
      <c r="M1020" s="242"/>
      <c r="N1020" s="216"/>
      <c r="O1020" s="216"/>
      <c r="P1020" s="251"/>
    </row>
    <row r="1021" spans="1:16" ht="38.25">
      <c r="A1021" s="224">
        <v>243</v>
      </c>
      <c r="B1021" s="241" t="s">
        <v>453</v>
      </c>
      <c r="C1021" s="17">
        <f t="shared" si="41"/>
        <v>3420534.17</v>
      </c>
      <c r="D1021" s="216">
        <v>2649865.41</v>
      </c>
      <c r="E1021" s="216">
        <v>770668.76</v>
      </c>
      <c r="F1021" s="216"/>
      <c r="G1021" s="242"/>
      <c r="H1021" s="254"/>
      <c r="I1021" s="242"/>
      <c r="J1021" s="242"/>
      <c r="K1021" s="242"/>
      <c r="L1021" s="242"/>
      <c r="M1021" s="242"/>
      <c r="N1021" s="216"/>
      <c r="O1021" s="216"/>
      <c r="P1021" s="251"/>
    </row>
    <row r="1022" spans="1:16" ht="38.25">
      <c r="A1022" s="224">
        <v>244</v>
      </c>
      <c r="B1022" s="241" t="s">
        <v>657</v>
      </c>
      <c r="C1022" s="17">
        <f t="shared" si="41"/>
        <v>29995146.24</v>
      </c>
      <c r="D1022" s="252"/>
      <c r="E1022" s="252"/>
      <c r="F1022" s="252"/>
      <c r="G1022" s="252"/>
      <c r="H1022" s="253">
        <v>16</v>
      </c>
      <c r="I1022" s="17">
        <v>29995146.24</v>
      </c>
      <c r="J1022" s="252"/>
      <c r="K1022" s="252"/>
      <c r="L1022" s="252"/>
      <c r="M1022" s="252"/>
      <c r="N1022" s="216"/>
      <c r="O1022" s="216"/>
      <c r="P1022" s="251"/>
    </row>
    <row r="1023" spans="1:16" ht="25.5">
      <c r="A1023" s="224">
        <v>245</v>
      </c>
      <c r="B1023" s="241" t="s">
        <v>454</v>
      </c>
      <c r="C1023" s="17">
        <f t="shared" si="41"/>
        <v>995265.06</v>
      </c>
      <c r="D1023" s="17">
        <v>995265.06</v>
      </c>
      <c r="E1023" s="252"/>
      <c r="F1023" s="252"/>
      <c r="G1023" s="252"/>
      <c r="H1023" s="253"/>
      <c r="I1023" s="252"/>
      <c r="J1023" s="252"/>
      <c r="K1023" s="252"/>
      <c r="L1023" s="252"/>
      <c r="M1023" s="252"/>
      <c r="N1023" s="216"/>
      <c r="O1023" s="216"/>
      <c r="P1023" s="251"/>
    </row>
    <row r="1024" spans="1:16" ht="25.5">
      <c r="A1024" s="224">
        <v>246</v>
      </c>
      <c r="B1024" s="241" t="s">
        <v>265</v>
      </c>
      <c r="C1024" s="17">
        <f t="shared" si="41"/>
        <v>1253645.4</v>
      </c>
      <c r="D1024" s="17">
        <v>1253645.4</v>
      </c>
      <c r="E1024" s="252"/>
      <c r="F1024" s="252"/>
      <c r="G1024" s="252"/>
      <c r="H1024" s="253"/>
      <c r="I1024" s="252"/>
      <c r="J1024" s="252"/>
      <c r="K1024" s="252"/>
      <c r="L1024" s="252"/>
      <c r="M1024" s="252"/>
      <c r="N1024" s="216"/>
      <c r="O1024" s="216"/>
      <c r="P1024" s="251"/>
    </row>
    <row r="1025" spans="1:16" ht="25.5">
      <c r="A1025" s="224">
        <v>247</v>
      </c>
      <c r="B1025" s="241" t="s">
        <v>455</v>
      </c>
      <c r="C1025" s="17">
        <f t="shared" si="41"/>
        <v>5129682.48</v>
      </c>
      <c r="D1025" s="252">
        <v>4355125.48</v>
      </c>
      <c r="E1025" s="252">
        <v>774557</v>
      </c>
      <c r="F1025" s="252"/>
      <c r="G1025" s="252"/>
      <c r="H1025" s="253"/>
      <c r="I1025" s="252"/>
      <c r="J1025" s="252"/>
      <c r="K1025" s="252"/>
      <c r="L1025" s="252"/>
      <c r="M1025" s="252"/>
      <c r="N1025" s="216"/>
      <c r="O1025" s="216"/>
      <c r="P1025" s="251"/>
    </row>
    <row r="1026" spans="1:16" ht="25.5">
      <c r="A1026" s="224">
        <v>248</v>
      </c>
      <c r="B1026" s="241" t="s">
        <v>456</v>
      </c>
      <c r="C1026" s="17">
        <f t="shared" si="41"/>
        <v>1197591.56</v>
      </c>
      <c r="D1026" s="252"/>
      <c r="E1026" s="252"/>
      <c r="F1026" s="252">
        <v>574.26</v>
      </c>
      <c r="G1026" s="17">
        <v>1197591.56</v>
      </c>
      <c r="H1026" s="253"/>
      <c r="I1026" s="252"/>
      <c r="J1026" s="252"/>
      <c r="K1026" s="252"/>
      <c r="L1026" s="252"/>
      <c r="M1026" s="252"/>
      <c r="N1026" s="216"/>
      <c r="O1026" s="216"/>
      <c r="P1026" s="251"/>
    </row>
    <row r="1027" spans="1:16" ht="25.5">
      <c r="A1027" s="224">
        <v>249</v>
      </c>
      <c r="B1027" s="241" t="s">
        <v>535</v>
      </c>
      <c r="C1027" s="17">
        <f t="shared" si="41"/>
        <v>3459637.7199999997</v>
      </c>
      <c r="D1027" s="252">
        <v>2518636.88</v>
      </c>
      <c r="E1027" s="252">
        <v>941000.84</v>
      </c>
      <c r="F1027" s="252"/>
      <c r="G1027" s="252"/>
      <c r="H1027" s="253"/>
      <c r="I1027" s="252"/>
      <c r="J1027" s="252"/>
      <c r="K1027" s="252"/>
      <c r="L1027" s="252"/>
      <c r="M1027" s="252"/>
      <c r="N1027" s="216"/>
      <c r="O1027" s="216"/>
      <c r="P1027" s="251"/>
    </row>
    <row r="1028" spans="1:16" ht="25.5">
      <c r="A1028" s="224">
        <v>250</v>
      </c>
      <c r="B1028" s="241" t="s">
        <v>266</v>
      </c>
      <c r="C1028" s="17">
        <f t="shared" si="41"/>
        <v>2275517.8</v>
      </c>
      <c r="D1028" s="252"/>
      <c r="E1028" s="252"/>
      <c r="F1028" s="252">
        <v>712</v>
      </c>
      <c r="G1028" s="17">
        <v>2275517.8</v>
      </c>
      <c r="H1028" s="253"/>
      <c r="I1028" s="252"/>
      <c r="J1028" s="252"/>
      <c r="K1028" s="252"/>
      <c r="L1028" s="252"/>
      <c r="M1028" s="252"/>
      <c r="N1028" s="216"/>
      <c r="O1028" s="216"/>
      <c r="P1028" s="251"/>
    </row>
    <row r="1029" spans="1:16" ht="39" customHeight="1">
      <c r="A1029" s="224">
        <v>251</v>
      </c>
      <c r="B1029" s="241" t="s">
        <v>1178</v>
      </c>
      <c r="C1029" s="17">
        <f t="shared" si="41"/>
        <v>3189037.05</v>
      </c>
      <c r="D1029" s="252">
        <v>2748457.9</v>
      </c>
      <c r="E1029" s="252">
        <v>440579.15</v>
      </c>
      <c r="F1029" s="252"/>
      <c r="G1029" s="252"/>
      <c r="H1029" s="253"/>
      <c r="I1029" s="252"/>
      <c r="J1029" s="252"/>
      <c r="K1029" s="252"/>
      <c r="L1029" s="252"/>
      <c r="M1029" s="252"/>
      <c r="N1029" s="216"/>
      <c r="O1029" s="216"/>
      <c r="P1029" s="251"/>
    </row>
    <row r="1030" spans="1:16" ht="25.5">
      <c r="A1030" s="224">
        <v>252</v>
      </c>
      <c r="B1030" s="241" t="s">
        <v>993</v>
      </c>
      <c r="C1030" s="17">
        <f t="shared" si="41"/>
        <v>2608536.69</v>
      </c>
      <c r="D1030" s="252">
        <v>2274420.4</v>
      </c>
      <c r="E1030" s="252">
        <v>334116.29</v>
      </c>
      <c r="F1030" s="252"/>
      <c r="G1030" s="252"/>
      <c r="H1030" s="253"/>
      <c r="I1030" s="252"/>
      <c r="J1030" s="252"/>
      <c r="K1030" s="252"/>
      <c r="L1030" s="252"/>
      <c r="M1030" s="252"/>
      <c r="N1030" s="216"/>
      <c r="O1030" s="216"/>
      <c r="P1030" s="251"/>
    </row>
    <row r="1031" spans="1:16" ht="25.5">
      <c r="A1031" s="224">
        <v>253</v>
      </c>
      <c r="B1031" s="241" t="s">
        <v>540</v>
      </c>
      <c r="C1031" s="17">
        <f t="shared" si="41"/>
        <v>5226897.84</v>
      </c>
      <c r="D1031" s="252"/>
      <c r="E1031" s="252"/>
      <c r="F1031" s="252"/>
      <c r="G1031" s="252"/>
      <c r="H1031" s="253">
        <v>2</v>
      </c>
      <c r="I1031" s="17">
        <v>5226897.84</v>
      </c>
      <c r="J1031" s="252"/>
      <c r="K1031" s="252"/>
      <c r="L1031" s="252"/>
      <c r="M1031" s="252"/>
      <c r="N1031" s="216"/>
      <c r="O1031" s="216"/>
      <c r="P1031" s="251"/>
    </row>
    <row r="1032" spans="1:16" ht="25.5">
      <c r="A1032" s="224">
        <v>254</v>
      </c>
      <c r="B1032" s="241" t="s">
        <v>457</v>
      </c>
      <c r="C1032" s="17">
        <f t="shared" si="41"/>
        <v>1875976.01</v>
      </c>
      <c r="D1032" s="252"/>
      <c r="E1032" s="252"/>
      <c r="F1032" s="252"/>
      <c r="G1032" s="252"/>
      <c r="H1032" s="253">
        <v>1</v>
      </c>
      <c r="I1032" s="17">
        <v>1875976.01</v>
      </c>
      <c r="J1032" s="252"/>
      <c r="K1032" s="252"/>
      <c r="L1032" s="252"/>
      <c r="M1032" s="252"/>
      <c r="N1032" s="216"/>
      <c r="O1032" s="216"/>
      <c r="P1032" s="251"/>
    </row>
    <row r="1033" spans="1:16" ht="38.25">
      <c r="A1033" s="224">
        <v>255</v>
      </c>
      <c r="B1033" s="241" t="s">
        <v>458</v>
      </c>
      <c r="C1033" s="17">
        <f t="shared" si="41"/>
        <v>3483375.76</v>
      </c>
      <c r="D1033" s="252"/>
      <c r="E1033" s="252"/>
      <c r="F1033" s="252">
        <v>1152</v>
      </c>
      <c r="G1033" s="17">
        <v>3483375.76</v>
      </c>
      <c r="H1033" s="253"/>
      <c r="I1033" s="252"/>
      <c r="J1033" s="252"/>
      <c r="K1033" s="252"/>
      <c r="L1033" s="252"/>
      <c r="M1033" s="252"/>
      <c r="N1033" s="216"/>
      <c r="O1033" s="216"/>
      <c r="P1033" s="251"/>
    </row>
    <row r="1034" spans="1:16" ht="38.25">
      <c r="A1034" s="224">
        <v>256</v>
      </c>
      <c r="B1034" s="241" t="s">
        <v>653</v>
      </c>
      <c r="C1034" s="17">
        <f t="shared" si="41"/>
        <v>3252237.89</v>
      </c>
      <c r="D1034" s="252">
        <v>2313897.39</v>
      </c>
      <c r="E1034" s="252">
        <v>938340.5</v>
      </c>
      <c r="F1034" s="252"/>
      <c r="G1034" s="252"/>
      <c r="H1034" s="253"/>
      <c r="I1034" s="252"/>
      <c r="J1034" s="252"/>
      <c r="K1034" s="252"/>
      <c r="L1034" s="252"/>
      <c r="M1034" s="252"/>
      <c r="N1034" s="216"/>
      <c r="O1034" s="216"/>
      <c r="P1034" s="251"/>
    </row>
    <row r="1035" spans="1:16" ht="25.5">
      <c r="A1035" s="224">
        <v>257</v>
      </c>
      <c r="B1035" s="241" t="s">
        <v>267</v>
      </c>
      <c r="C1035" s="17">
        <f t="shared" si="41"/>
        <v>5509527.12</v>
      </c>
      <c r="D1035" s="252">
        <v>4762218.42</v>
      </c>
      <c r="E1035" s="252">
        <v>747308.7</v>
      </c>
      <c r="F1035" s="252"/>
      <c r="G1035" s="252"/>
      <c r="H1035" s="253"/>
      <c r="I1035" s="252"/>
      <c r="J1035" s="252"/>
      <c r="K1035" s="252"/>
      <c r="L1035" s="252"/>
      <c r="M1035" s="252"/>
      <c r="N1035" s="216"/>
      <c r="O1035" s="216"/>
      <c r="P1035" s="251"/>
    </row>
    <row r="1036" spans="1:16" ht="25.5">
      <c r="A1036" s="224">
        <v>258</v>
      </c>
      <c r="B1036" s="241" t="s">
        <v>1008</v>
      </c>
      <c r="C1036" s="17">
        <f t="shared" si="41"/>
        <v>592031.24</v>
      </c>
      <c r="D1036" s="17">
        <v>592031.24</v>
      </c>
      <c r="E1036" s="252"/>
      <c r="F1036" s="252"/>
      <c r="G1036" s="252"/>
      <c r="H1036" s="253"/>
      <c r="I1036" s="252"/>
      <c r="J1036" s="252"/>
      <c r="K1036" s="252"/>
      <c r="L1036" s="252"/>
      <c r="M1036" s="252"/>
      <c r="N1036" s="216"/>
      <c r="O1036" s="216"/>
      <c r="P1036" s="251"/>
    </row>
    <row r="1037" spans="1:16" ht="25.5">
      <c r="A1037" s="224">
        <v>259</v>
      </c>
      <c r="B1037" s="241" t="s">
        <v>545</v>
      </c>
      <c r="C1037" s="17">
        <f t="shared" si="41"/>
        <v>31478556.69</v>
      </c>
      <c r="D1037" s="252"/>
      <c r="E1037" s="252"/>
      <c r="F1037" s="252"/>
      <c r="G1037" s="252"/>
      <c r="H1037" s="253"/>
      <c r="I1037" s="252"/>
      <c r="J1037" s="252"/>
      <c r="K1037" s="252"/>
      <c r="L1037" s="252">
        <v>8513.4</v>
      </c>
      <c r="M1037" s="17">
        <v>31478556.69</v>
      </c>
      <c r="N1037" s="216"/>
      <c r="O1037" s="216"/>
      <c r="P1037" s="251"/>
    </row>
    <row r="1038" spans="1:16" ht="38.25">
      <c r="A1038" s="224">
        <v>260</v>
      </c>
      <c r="B1038" s="241" t="s">
        <v>459</v>
      </c>
      <c r="C1038" s="17">
        <f t="shared" si="41"/>
        <v>4164217.38</v>
      </c>
      <c r="D1038" s="252">
        <v>3444083.25</v>
      </c>
      <c r="E1038" s="252">
        <v>720134.13</v>
      </c>
      <c r="F1038" s="252"/>
      <c r="G1038" s="252"/>
      <c r="H1038" s="253"/>
      <c r="I1038" s="252"/>
      <c r="J1038" s="252"/>
      <c r="K1038" s="252"/>
      <c r="L1038" s="252"/>
      <c r="M1038" s="252"/>
      <c r="N1038" s="216"/>
      <c r="O1038" s="216"/>
      <c r="P1038" s="251"/>
    </row>
    <row r="1039" spans="1:16" ht="38.25">
      <c r="A1039" s="224">
        <v>261</v>
      </c>
      <c r="B1039" s="241" t="s">
        <v>460</v>
      </c>
      <c r="C1039" s="17">
        <f t="shared" si="41"/>
        <v>2920829.34</v>
      </c>
      <c r="D1039" s="252">
        <v>2487331.73</v>
      </c>
      <c r="E1039" s="252">
        <v>433497.61</v>
      </c>
      <c r="F1039" s="252"/>
      <c r="G1039" s="252"/>
      <c r="H1039" s="253"/>
      <c r="I1039" s="252"/>
      <c r="J1039" s="252"/>
      <c r="K1039" s="252"/>
      <c r="L1039" s="252"/>
      <c r="M1039" s="252"/>
      <c r="N1039" s="216"/>
      <c r="O1039" s="216"/>
      <c r="P1039" s="255"/>
    </row>
    <row r="1040" spans="1:16" ht="26.25" customHeight="1">
      <c r="A1040" s="198"/>
      <c r="B1040" s="222" t="s">
        <v>1437</v>
      </c>
      <c r="C1040" s="218">
        <f aca="true" t="shared" si="42" ref="C1040:M1040">SUM(C935:C1039)</f>
        <v>683629270.1299998</v>
      </c>
      <c r="D1040" s="218">
        <f t="shared" si="42"/>
        <v>269417810.2800001</v>
      </c>
      <c r="E1040" s="218">
        <f t="shared" si="42"/>
        <v>29975086.8</v>
      </c>
      <c r="F1040" s="218">
        <f t="shared" si="42"/>
        <v>27067.459999999995</v>
      </c>
      <c r="G1040" s="218">
        <f t="shared" si="42"/>
        <v>70286091.41</v>
      </c>
      <c r="H1040" s="223">
        <f t="shared" si="42"/>
        <v>153</v>
      </c>
      <c r="I1040" s="218">
        <f t="shared" si="42"/>
        <v>278909123.09</v>
      </c>
      <c r="J1040" s="218">
        <f t="shared" si="42"/>
        <v>519</v>
      </c>
      <c r="K1040" s="218">
        <f t="shared" si="42"/>
        <v>3496063.06</v>
      </c>
      <c r="L1040" s="218">
        <f t="shared" si="42"/>
        <v>8513.4</v>
      </c>
      <c r="M1040" s="218">
        <f t="shared" si="42"/>
        <v>31478556.69</v>
      </c>
      <c r="N1040" s="218"/>
      <c r="O1040" s="218"/>
      <c r="P1040" s="261">
        <f>SUM(P935:P1039)</f>
        <v>66538.8</v>
      </c>
    </row>
    <row r="1041" spans="1:16" ht="25.5">
      <c r="A1041" s="198"/>
      <c r="B1041" s="222" t="s">
        <v>785</v>
      </c>
      <c r="C1041" s="243">
        <f aca="true" t="shared" si="43" ref="C1041:M1041">C736+C740+C747+C751+C756+C766+C770+C776+C782+C791+C794+C798+C817+C837+C840+C847+C850+C853+C864+C900+C926+C933+C1040</f>
        <v>1075282691.3599997</v>
      </c>
      <c r="D1041" s="243">
        <f t="shared" si="43"/>
        <v>429820956.2900001</v>
      </c>
      <c r="E1041" s="243">
        <f t="shared" si="43"/>
        <v>43886983.53</v>
      </c>
      <c r="F1041" s="243">
        <f t="shared" si="43"/>
        <v>100451.92999999998</v>
      </c>
      <c r="G1041" s="243">
        <f t="shared" si="43"/>
        <v>274731311.92</v>
      </c>
      <c r="H1041" s="256">
        <f t="shared" si="43"/>
        <v>157</v>
      </c>
      <c r="I1041" s="243">
        <f t="shared" si="43"/>
        <v>286072654.9</v>
      </c>
      <c r="J1041" s="243">
        <f t="shared" si="43"/>
        <v>1306.7</v>
      </c>
      <c r="K1041" s="243">
        <f t="shared" si="43"/>
        <v>6734060.2</v>
      </c>
      <c r="L1041" s="243">
        <f t="shared" si="43"/>
        <v>9302.4</v>
      </c>
      <c r="M1041" s="243">
        <f t="shared" si="43"/>
        <v>33970185.72</v>
      </c>
      <c r="N1041" s="243"/>
      <c r="O1041" s="243"/>
      <c r="P1041" s="262">
        <f>P736+P740+P747+P751+P756+P766+P770+P776+P782+P791+P794+P798+P817+P837+P840+P847+P850+P853+P864+P900+P926+P933+P1040</f>
        <v>66538.8</v>
      </c>
    </row>
    <row r="1042" spans="1:16" ht="25.5">
      <c r="A1042" s="198"/>
      <c r="B1042" s="222" t="s">
        <v>788</v>
      </c>
      <c r="C1042" s="243">
        <f aca="true" t="shared" si="44" ref="C1042:M1042">C393+C732+C1041</f>
        <v>2723047469.5573</v>
      </c>
      <c r="D1042" s="243">
        <f t="shared" si="44"/>
        <v>1172590636.0597</v>
      </c>
      <c r="E1042" s="243">
        <f t="shared" si="44"/>
        <v>101942752.18</v>
      </c>
      <c r="F1042" s="243">
        <f t="shared" si="44"/>
        <v>347618.76999999996</v>
      </c>
      <c r="G1042" s="243">
        <f t="shared" si="44"/>
        <v>832859340.7976</v>
      </c>
      <c r="H1042" s="256">
        <f t="shared" si="44"/>
        <v>180</v>
      </c>
      <c r="I1042" s="243">
        <f t="shared" si="44"/>
        <v>327252574.15</v>
      </c>
      <c r="J1042" s="243">
        <f t="shared" si="44"/>
        <v>9134.84</v>
      </c>
      <c r="K1042" s="243">
        <f t="shared" si="44"/>
        <v>15478917.36</v>
      </c>
      <c r="L1042" s="243">
        <f t="shared" si="44"/>
        <v>123676.81</v>
      </c>
      <c r="M1042" s="243">
        <f t="shared" si="44"/>
        <v>272856710.21</v>
      </c>
      <c r="N1042" s="243"/>
      <c r="O1042" s="243"/>
      <c r="P1042" s="262">
        <f>P393+P732+P1041</f>
        <v>66538.8</v>
      </c>
    </row>
    <row r="1043" spans="2:16" ht="12.75">
      <c r="B1043" s="257"/>
      <c r="C1043" s="258"/>
      <c r="D1043" s="258"/>
      <c r="E1043" s="258"/>
      <c r="F1043" s="258"/>
      <c r="G1043" s="258"/>
      <c r="H1043" s="259"/>
      <c r="I1043" s="258"/>
      <c r="J1043" s="258"/>
      <c r="K1043" s="258"/>
      <c r="L1043" s="258"/>
      <c r="M1043" s="258"/>
      <c r="N1043" s="258"/>
      <c r="O1043" s="258"/>
      <c r="P1043" s="258"/>
    </row>
    <row r="1044" spans="1:16" ht="28.5" customHeight="1" hidden="1">
      <c r="A1044" s="345" t="s">
        <v>673</v>
      </c>
      <c r="B1044" s="345"/>
      <c r="C1044" s="345"/>
      <c r="D1044" s="345"/>
      <c r="E1044" s="345"/>
      <c r="F1044" s="345"/>
      <c r="G1044" s="345"/>
      <c r="H1044" s="345"/>
      <c r="I1044" s="345"/>
      <c r="J1044" s="345"/>
      <c r="K1044" s="345"/>
      <c r="L1044" s="345"/>
      <c r="M1044" s="345"/>
      <c r="N1044" s="345"/>
      <c r="O1044" s="345"/>
      <c r="P1044" s="345"/>
    </row>
    <row r="1046" spans="1:16" ht="12.75">
      <c r="A1046" s="345" t="s">
        <v>875</v>
      </c>
      <c r="B1046" s="345"/>
      <c r="C1046" s="345"/>
      <c r="D1046" s="345"/>
      <c r="E1046" s="345"/>
      <c r="F1046" s="345"/>
      <c r="G1046" s="345"/>
      <c r="H1046" s="345"/>
      <c r="I1046" s="345"/>
      <c r="J1046" s="345"/>
      <c r="K1046" s="345"/>
      <c r="L1046" s="345"/>
      <c r="M1046" s="345"/>
      <c r="N1046" s="345"/>
      <c r="O1046" s="345"/>
      <c r="P1046" s="345"/>
    </row>
    <row r="1047" spans="3:8" ht="12.75">
      <c r="C1047" s="50"/>
      <c r="D1047" s="49"/>
      <c r="E1047" s="49"/>
      <c r="F1047" s="49"/>
      <c r="G1047" s="258"/>
      <c r="H1047" s="258"/>
    </row>
    <row r="1048" spans="2:9" ht="14.25">
      <c r="B1048" s="50"/>
      <c r="C1048" s="50"/>
      <c r="D1048" s="49"/>
      <c r="E1048" s="49"/>
      <c r="F1048" s="274"/>
      <c r="G1048" s="258"/>
      <c r="H1048" s="258"/>
      <c r="I1048" s="49"/>
    </row>
    <row r="1049" spans="3:11" ht="12.75">
      <c r="C1049" s="50"/>
      <c r="D1049" s="49"/>
      <c r="F1049" s="50"/>
      <c r="K1049" s="49"/>
    </row>
    <row r="1050" spans="2:5" ht="12.75">
      <c r="B1050" s="49"/>
      <c r="C1050" s="49"/>
      <c r="D1050" s="49"/>
      <c r="E1050" s="49"/>
    </row>
    <row r="1051" spans="3:8" ht="12.75">
      <c r="C1051" s="49"/>
      <c r="D1051" s="49"/>
      <c r="H1051" s="49"/>
    </row>
    <row r="1052" spans="3:11" ht="12.75">
      <c r="C1052" s="49"/>
      <c r="G1052" s="49"/>
      <c r="H1052" s="49"/>
      <c r="I1052" s="49"/>
      <c r="K1052" s="49"/>
    </row>
  </sheetData>
  <sheetProtection/>
  <mergeCells count="83">
    <mergeCell ref="A433:P433"/>
    <mergeCell ref="A437:P437"/>
    <mergeCell ref="A465:P465"/>
    <mergeCell ref="A461:P461"/>
    <mergeCell ref="A442:P442"/>
    <mergeCell ref="A453:P453"/>
    <mergeCell ref="A1044:P1044"/>
    <mergeCell ref="A522:P522"/>
    <mergeCell ref="A500:P500"/>
    <mergeCell ref="A503:P503"/>
    <mergeCell ref="A777:P777"/>
    <mergeCell ref="A530:P530"/>
    <mergeCell ref="A572:P572"/>
    <mergeCell ref="A605:P605"/>
    <mergeCell ref="A865:P865"/>
    <mergeCell ref="A841:P841"/>
    <mergeCell ref="A161:P161"/>
    <mergeCell ref="A395:P395"/>
    <mergeCell ref="A167:P167"/>
    <mergeCell ref="A394:P394"/>
    <mergeCell ref="A180:P180"/>
    <mergeCell ref="A212:P212"/>
    <mergeCell ref="A252:P252"/>
    <mergeCell ref="A241:P241"/>
    <mergeCell ref="A47:P47"/>
    <mergeCell ref="M9:P17"/>
    <mergeCell ref="N20:O20"/>
    <mergeCell ref="A18:P18"/>
    <mergeCell ref="F20:G20"/>
    <mergeCell ref="H20:I20"/>
    <mergeCell ref="J20:K20"/>
    <mergeCell ref="L20:M20"/>
    <mergeCell ref="A24:P24"/>
    <mergeCell ref="A56:P56"/>
    <mergeCell ref="A60:P60"/>
    <mergeCell ref="A157:P157"/>
    <mergeCell ref="A81:P81"/>
    <mergeCell ref="A116:P116"/>
    <mergeCell ref="A103:P103"/>
    <mergeCell ref="A96:P96"/>
    <mergeCell ref="A141:P141"/>
    <mergeCell ref="A144:P144"/>
    <mergeCell ref="A147:P147"/>
    <mergeCell ref="A838:P838"/>
    <mergeCell ref="A752:P752"/>
    <mergeCell ref="A818:P818"/>
    <mergeCell ref="A404:P404"/>
    <mergeCell ref="A424:P424"/>
    <mergeCell ref="A484:P484"/>
    <mergeCell ref="A412:P412"/>
    <mergeCell ref="A417:P417"/>
    <mergeCell ref="A614:P614"/>
    <mergeCell ref="A733:P733"/>
    <mergeCell ref="A854:P854"/>
    <mergeCell ref="A737:P737"/>
    <mergeCell ref="A734:P734"/>
    <mergeCell ref="A515:P515"/>
    <mergeCell ref="A741:P741"/>
    <mergeCell ref="A795:P795"/>
    <mergeCell ref="A767:P767"/>
    <mergeCell ref="A783:P783"/>
    <mergeCell ref="A792:P792"/>
    <mergeCell ref="A519:P519"/>
    <mergeCell ref="A1046:P1046"/>
    <mergeCell ref="A934:P934"/>
    <mergeCell ref="A927:P927"/>
    <mergeCell ref="A748:P748"/>
    <mergeCell ref="A757:P757"/>
    <mergeCell ref="A771:P771"/>
    <mergeCell ref="A848:P848"/>
    <mergeCell ref="A901:P901"/>
    <mergeCell ref="A799:P799"/>
    <mergeCell ref="A851:P851"/>
    <mergeCell ref="A400:P400"/>
    <mergeCell ref="A470:P470"/>
    <mergeCell ref="M1:P6"/>
    <mergeCell ref="A39:P39"/>
    <mergeCell ref="A43:P43"/>
    <mergeCell ref="A72:P72"/>
    <mergeCell ref="A67:P67"/>
    <mergeCell ref="A28:P28"/>
    <mergeCell ref="A23:P23"/>
    <mergeCell ref="A91:P91"/>
  </mergeCells>
  <printOptions/>
  <pageMargins left="0.3937007874015748" right="0.3937007874015748" top="0.984251968503937" bottom="0.5905511811023623" header="0.5118110236220472" footer="0.5118110236220472"/>
  <pageSetup firstPageNumber="1" useFirstPageNumber="1" horizontalDpi="600" verticalDpi="600" orientation="landscape" paperSize="9" scale="59" r:id="rId1"/>
  <headerFooter alignWithMargins="0">
    <oddHeader>&amp;C&amp;P</oddHeader>
  </headerFooter>
  <rowBreaks count="6" manualBreakCount="6">
    <brk id="80" max="15" man="1"/>
    <brk id="115" max="15" man="1"/>
    <brk id="251" max="15" man="1"/>
    <brk id="613" max="15" man="1"/>
    <brk id="736" max="15" man="1"/>
    <brk id="8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Валерьевна Никифорова</cp:lastModifiedBy>
  <cp:lastPrinted>2022-07-11T12:06:48Z</cp:lastPrinted>
  <dcterms:created xsi:type="dcterms:W3CDTF">2010-12-03T14:19:19Z</dcterms:created>
  <dcterms:modified xsi:type="dcterms:W3CDTF">2023-07-03T05:19:46Z</dcterms:modified>
  <cp:category/>
  <cp:version/>
  <cp:contentType/>
  <cp:contentStatus/>
</cp:coreProperties>
</file>