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ФЭО\2_бухгалтер по СПЕЦСЧЕТАМ\!!!ОТЧЕТ В ГЖИ 2018-2024 ГОД\2024 год\Отчет 30.04.2024\Итого до 04.04.2024\"/>
    </mc:Choice>
  </mc:AlternateContent>
  <bookViews>
    <workbookView xWindow="0" yWindow="0" windowWidth="28800" windowHeight="12435"/>
  </bookViews>
  <sheets>
    <sheet name="Отчет по СС РО отчет-сайт" sheetId="16" r:id="rId1"/>
  </sheets>
  <definedNames>
    <definedName name="_xlnm.Print_Area" localSheetId="0">'Отчет по СС РО отчет-сайт'!$A$1:$X$184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2" i="16" l="1"/>
  <c r="AA171" i="16"/>
  <c r="Z171" i="16"/>
  <c r="Y171" i="16"/>
  <c r="U171" i="16"/>
  <c r="S171" i="16" s="1"/>
  <c r="X171" i="16" s="1"/>
  <c r="P171" i="16"/>
  <c r="O171" i="16"/>
  <c r="L171" i="16" s="1"/>
  <c r="AA170" i="16"/>
  <c r="Z170" i="16"/>
  <c r="Y170" i="16"/>
  <c r="U170" i="16"/>
  <c r="S170" i="16"/>
  <c r="X170" i="16" s="1"/>
  <c r="P170" i="16"/>
  <c r="O170" i="16"/>
  <c r="AA167" i="16"/>
  <c r="Z167" i="16"/>
  <c r="U167" i="16"/>
  <c r="S167" i="16" s="1"/>
  <c r="X167" i="16" s="1"/>
  <c r="P167" i="16"/>
  <c r="O167" i="16"/>
  <c r="Q167" i="16" s="1"/>
  <c r="AA166" i="16"/>
  <c r="Z166" i="16"/>
  <c r="Y166" i="16"/>
  <c r="U166" i="16"/>
  <c r="S166" i="16" s="1"/>
  <c r="X166" i="16" s="1"/>
  <c r="P166" i="16"/>
  <c r="O166" i="16"/>
  <c r="AA165" i="16"/>
  <c r="Z165" i="16"/>
  <c r="Y165" i="16"/>
  <c r="X165" i="16"/>
  <c r="S165" i="16"/>
  <c r="P165" i="16"/>
  <c r="O165" i="16"/>
  <c r="Q165" i="16" s="1"/>
  <c r="L165" i="16"/>
  <c r="W165" i="16" s="1"/>
  <c r="AA164" i="16"/>
  <c r="Z164" i="16"/>
  <c r="Y164" i="16"/>
  <c r="S164" i="16"/>
  <c r="X164" i="16" s="1"/>
  <c r="P164" i="16"/>
  <c r="O164" i="16"/>
  <c r="L164" i="16" s="1"/>
  <c r="W164" i="16" s="1"/>
  <c r="AA163" i="16"/>
  <c r="Z163" i="16"/>
  <c r="Y163" i="16"/>
  <c r="U163" i="16"/>
  <c r="S163" i="16" s="1"/>
  <c r="X163" i="16" s="1"/>
  <c r="P163" i="16"/>
  <c r="O163" i="16"/>
  <c r="L163" i="16" s="1"/>
  <c r="AA162" i="16"/>
  <c r="Z162" i="16"/>
  <c r="Y162" i="16"/>
  <c r="U162" i="16"/>
  <c r="S162" i="16" s="1"/>
  <c r="X162" i="16" s="1"/>
  <c r="P162" i="16"/>
  <c r="O162" i="16"/>
  <c r="AA161" i="16"/>
  <c r="Z161" i="16"/>
  <c r="Y161" i="16"/>
  <c r="U161" i="16"/>
  <c r="S161" i="16"/>
  <c r="X161" i="16" s="1"/>
  <c r="P161" i="16"/>
  <c r="O161" i="16"/>
  <c r="AA160" i="16"/>
  <c r="Z160" i="16"/>
  <c r="Y160" i="16"/>
  <c r="S160" i="16"/>
  <c r="X160" i="16" s="1"/>
  <c r="P160" i="16"/>
  <c r="O160" i="16"/>
  <c r="L160" i="16" s="1"/>
  <c r="W160" i="16" s="1"/>
  <c r="AA159" i="16"/>
  <c r="Z159" i="16"/>
  <c r="Y159" i="16"/>
  <c r="U159" i="16"/>
  <c r="S159" i="16" s="1"/>
  <c r="X159" i="16" s="1"/>
  <c r="P159" i="16"/>
  <c r="O159" i="16"/>
  <c r="L159" i="16" s="1"/>
  <c r="AA158" i="16"/>
  <c r="Z158" i="16"/>
  <c r="Y158" i="16"/>
  <c r="U158" i="16"/>
  <c r="S158" i="16" s="1"/>
  <c r="X158" i="16" s="1"/>
  <c r="P158" i="16"/>
  <c r="O158" i="16"/>
  <c r="Q158" i="16" s="1"/>
  <c r="AA157" i="16"/>
  <c r="Z157" i="16"/>
  <c r="Y157" i="16"/>
  <c r="V157" i="16"/>
  <c r="U157" i="16"/>
  <c r="S157" i="16"/>
  <c r="P157" i="16"/>
  <c r="O157" i="16"/>
  <c r="AA156" i="16"/>
  <c r="Z156" i="16"/>
  <c r="Y156" i="16"/>
  <c r="U156" i="16"/>
  <c r="S156" i="16" s="1"/>
  <c r="X156" i="16" s="1"/>
  <c r="P156" i="16"/>
  <c r="O156" i="16"/>
  <c r="L156" i="16" s="1"/>
  <c r="AA155" i="16"/>
  <c r="Z155" i="16"/>
  <c r="Y155" i="16"/>
  <c r="V155" i="16"/>
  <c r="S155" i="16"/>
  <c r="P155" i="16"/>
  <c r="O155" i="16"/>
  <c r="L155" i="16" s="1"/>
  <c r="AA154" i="16"/>
  <c r="Z154" i="16"/>
  <c r="Y154" i="16"/>
  <c r="U154" i="16"/>
  <c r="S154" i="16" s="1"/>
  <c r="X154" i="16" s="1"/>
  <c r="P154" i="16"/>
  <c r="O154" i="16"/>
  <c r="L154" i="16" s="1"/>
  <c r="AA153" i="16"/>
  <c r="Z153" i="16"/>
  <c r="Y153" i="16"/>
  <c r="S153" i="16"/>
  <c r="X153" i="16" s="1"/>
  <c r="P153" i="16"/>
  <c r="O153" i="16"/>
  <c r="L153" i="16" s="1"/>
  <c r="AA152" i="16"/>
  <c r="Z152" i="16"/>
  <c r="Y152" i="16"/>
  <c r="U152" i="16"/>
  <c r="S152" i="16" s="1"/>
  <c r="X152" i="16" s="1"/>
  <c r="Q152" i="16"/>
  <c r="P152" i="16"/>
  <c r="O152" i="16"/>
  <c r="L152" i="16" s="1"/>
  <c r="AA151" i="16"/>
  <c r="Z151" i="16"/>
  <c r="Y151" i="16"/>
  <c r="U151" i="16"/>
  <c r="S151" i="16" s="1"/>
  <c r="X151" i="16" s="1"/>
  <c r="Q151" i="16"/>
  <c r="P151" i="16"/>
  <c r="O151" i="16"/>
  <c r="L151" i="16" s="1"/>
  <c r="Y150" i="16"/>
  <c r="U150" i="16"/>
  <c r="S150" i="16" s="1"/>
  <c r="X150" i="16" s="1"/>
  <c r="P150" i="16"/>
  <c r="O150" i="16"/>
  <c r="L150" i="16" s="1"/>
  <c r="W150" i="16" s="1"/>
  <c r="AA149" i="16"/>
  <c r="Z149" i="16"/>
  <c r="Y149" i="16"/>
  <c r="S149" i="16"/>
  <c r="X149" i="16" s="1"/>
  <c r="P149" i="16"/>
  <c r="O149" i="16"/>
  <c r="AA148" i="16"/>
  <c r="Z148" i="16"/>
  <c r="Y148" i="16"/>
  <c r="S148" i="16"/>
  <c r="X148" i="16" s="1"/>
  <c r="P148" i="16"/>
  <c r="O148" i="16"/>
  <c r="L148" i="16" s="1"/>
  <c r="AA147" i="16"/>
  <c r="Z147" i="16"/>
  <c r="Y147" i="16"/>
  <c r="U147" i="16"/>
  <c r="S147" i="16" s="1"/>
  <c r="X147" i="16" s="1"/>
  <c r="P147" i="16"/>
  <c r="O147" i="16"/>
  <c r="L147" i="16" s="1"/>
  <c r="AA146" i="16"/>
  <c r="Z146" i="16"/>
  <c r="Y146" i="16"/>
  <c r="U146" i="16"/>
  <c r="S146" i="16" s="1"/>
  <c r="X146" i="16" s="1"/>
  <c r="P146" i="16"/>
  <c r="O146" i="16"/>
  <c r="Q146" i="16" s="1"/>
  <c r="AA145" i="16"/>
  <c r="Z145" i="16"/>
  <c r="Y145" i="16"/>
  <c r="U145" i="16"/>
  <c r="S145" i="16" s="1"/>
  <c r="X145" i="16" s="1"/>
  <c r="P145" i="16"/>
  <c r="O145" i="16"/>
  <c r="L145" i="16" s="1"/>
  <c r="AA144" i="16"/>
  <c r="Z144" i="16"/>
  <c r="Y144" i="16"/>
  <c r="S144" i="16"/>
  <c r="X144" i="16" s="1"/>
  <c r="P144" i="16"/>
  <c r="O144" i="16"/>
  <c r="AA143" i="16"/>
  <c r="Z143" i="16"/>
  <c r="Y143" i="16"/>
  <c r="U143" i="16"/>
  <c r="S143" i="16" s="1"/>
  <c r="X143" i="16" s="1"/>
  <c r="P143" i="16"/>
  <c r="O143" i="16"/>
  <c r="Q143" i="16" s="1"/>
  <c r="AA142" i="16"/>
  <c r="Z142" i="16"/>
  <c r="Y142" i="16"/>
  <c r="U142" i="16"/>
  <c r="S142" i="16" s="1"/>
  <c r="X142" i="16" s="1"/>
  <c r="P142" i="16"/>
  <c r="O142" i="16"/>
  <c r="L142" i="16" s="1"/>
  <c r="AA141" i="16"/>
  <c r="Z141" i="16"/>
  <c r="Y141" i="16"/>
  <c r="S141" i="16"/>
  <c r="X141" i="16" s="1"/>
  <c r="P141" i="16"/>
  <c r="O141" i="16"/>
  <c r="L141" i="16" s="1"/>
  <c r="AA140" i="16"/>
  <c r="Z140" i="16"/>
  <c r="Y140" i="16"/>
  <c r="S140" i="16"/>
  <c r="X140" i="16" s="1"/>
  <c r="P140" i="16"/>
  <c r="O140" i="16"/>
  <c r="L140" i="16" s="1"/>
  <c r="AA139" i="16"/>
  <c r="Z139" i="16"/>
  <c r="Y139" i="16"/>
  <c r="U139" i="16"/>
  <c r="S139" i="16" s="1"/>
  <c r="X139" i="16" s="1"/>
  <c r="P139" i="16"/>
  <c r="O139" i="16"/>
  <c r="Q139" i="16" s="1"/>
  <c r="AA138" i="16"/>
  <c r="Z138" i="16"/>
  <c r="Y138" i="16"/>
  <c r="U138" i="16"/>
  <c r="S138" i="16" s="1"/>
  <c r="X138" i="16" s="1"/>
  <c r="P138" i="16"/>
  <c r="O138" i="16"/>
  <c r="L138" i="16" s="1"/>
  <c r="AA137" i="16"/>
  <c r="Z137" i="16"/>
  <c r="Y137" i="16"/>
  <c r="S137" i="16"/>
  <c r="X137" i="16" s="1"/>
  <c r="P137" i="16"/>
  <c r="O137" i="16"/>
  <c r="L137" i="16" s="1"/>
  <c r="W137" i="16" s="1"/>
  <c r="AA136" i="16"/>
  <c r="Z136" i="16"/>
  <c r="Y136" i="16"/>
  <c r="U136" i="16"/>
  <c r="S136" i="16" s="1"/>
  <c r="X136" i="16" s="1"/>
  <c r="P136" i="16"/>
  <c r="O136" i="16"/>
  <c r="Q136" i="16" s="1"/>
  <c r="L136" i="16"/>
  <c r="AA135" i="16"/>
  <c r="Z135" i="16"/>
  <c r="Y135" i="16"/>
  <c r="U135" i="16"/>
  <c r="S135" i="16" s="1"/>
  <c r="X135" i="16" s="1"/>
  <c r="P135" i="16"/>
  <c r="O135" i="16"/>
  <c r="L135" i="16" s="1"/>
  <c r="AA134" i="16"/>
  <c r="Z134" i="16"/>
  <c r="Y134" i="16"/>
  <c r="U134" i="16"/>
  <c r="S134" i="16"/>
  <c r="X134" i="16" s="1"/>
  <c r="Q134" i="16"/>
  <c r="P134" i="16"/>
  <c r="O134" i="16"/>
  <c r="L134" i="16"/>
  <c r="W134" i="16" s="1"/>
  <c r="Y133" i="16"/>
  <c r="V133" i="16"/>
  <c r="U133" i="16"/>
  <c r="S133" i="16"/>
  <c r="P133" i="16"/>
  <c r="O133" i="16"/>
  <c r="AA132" i="16"/>
  <c r="Z132" i="16"/>
  <c r="Y132" i="16"/>
  <c r="U132" i="16"/>
  <c r="S132" i="16" s="1"/>
  <c r="X132" i="16" s="1"/>
  <c r="P132" i="16"/>
  <c r="O132" i="16"/>
  <c r="L132" i="16" s="1"/>
  <c r="U131" i="16"/>
  <c r="S131" i="16"/>
  <c r="X131" i="16" s="1"/>
  <c r="P131" i="16"/>
  <c r="O131" i="16"/>
  <c r="L131" i="16" s="1"/>
  <c r="U130" i="16"/>
  <c r="S130" i="16" s="1"/>
  <c r="X130" i="16" s="1"/>
  <c r="P130" i="16"/>
  <c r="O130" i="16"/>
  <c r="AA129" i="16"/>
  <c r="Z129" i="16"/>
  <c r="Y129" i="16"/>
  <c r="U129" i="16"/>
  <c r="S129" i="16"/>
  <c r="X129" i="16" s="1"/>
  <c r="Q129" i="16"/>
  <c r="P129" i="16"/>
  <c r="O129" i="16"/>
  <c r="L129" i="16"/>
  <c r="W129" i="16" s="1"/>
  <c r="AA128" i="16"/>
  <c r="Z128" i="16"/>
  <c r="Y128" i="16"/>
  <c r="U128" i="16"/>
  <c r="S128" i="16" s="1"/>
  <c r="X128" i="16" s="1"/>
  <c r="Q128" i="16"/>
  <c r="P128" i="16"/>
  <c r="O128" i="16"/>
  <c r="L128" i="16" s="1"/>
  <c r="AA127" i="16"/>
  <c r="Z127" i="16"/>
  <c r="Y127" i="16"/>
  <c r="U127" i="16"/>
  <c r="S127" i="16"/>
  <c r="X127" i="16" s="1"/>
  <c r="P127" i="16"/>
  <c r="O127" i="16"/>
  <c r="Q127" i="16" s="1"/>
  <c r="L127" i="16"/>
  <c r="AA126" i="16"/>
  <c r="Z126" i="16"/>
  <c r="Y126" i="16"/>
  <c r="S126" i="16"/>
  <c r="X126" i="16" s="1"/>
  <c r="Q126" i="16"/>
  <c r="P126" i="16"/>
  <c r="O126" i="16"/>
  <c r="L126" i="16"/>
  <c r="W126" i="16" s="1"/>
  <c r="AA125" i="16"/>
  <c r="Z125" i="16"/>
  <c r="Y125" i="16"/>
  <c r="U125" i="16"/>
  <c r="S125" i="16" s="1"/>
  <c r="X125" i="16" s="1"/>
  <c r="P125" i="16"/>
  <c r="O125" i="16"/>
  <c r="AA124" i="16"/>
  <c r="Z124" i="16"/>
  <c r="Y124" i="16"/>
  <c r="U124" i="16"/>
  <c r="S124" i="16" s="1"/>
  <c r="X124" i="16" s="1"/>
  <c r="P124" i="16"/>
  <c r="O124" i="16"/>
  <c r="Q124" i="16" s="1"/>
  <c r="L124" i="16"/>
  <c r="AA123" i="16"/>
  <c r="Z123" i="16"/>
  <c r="Y123" i="16"/>
  <c r="U123" i="16"/>
  <c r="S123" i="16" s="1"/>
  <c r="X123" i="16" s="1"/>
  <c r="Q123" i="16"/>
  <c r="P123" i="16"/>
  <c r="O123" i="16"/>
  <c r="L123" i="16" s="1"/>
  <c r="AA122" i="16"/>
  <c r="Z122" i="16"/>
  <c r="Y122" i="16"/>
  <c r="S122" i="16"/>
  <c r="X122" i="16" s="1"/>
  <c r="Q122" i="16"/>
  <c r="P122" i="16"/>
  <c r="O122" i="16"/>
  <c r="L122" i="16" s="1"/>
  <c r="AA121" i="16"/>
  <c r="Z121" i="16"/>
  <c r="Y121" i="16"/>
  <c r="S121" i="16"/>
  <c r="X121" i="16" s="1"/>
  <c r="P121" i="16"/>
  <c r="O121" i="16"/>
  <c r="L121" i="16" s="1"/>
  <c r="W121" i="16" s="1"/>
  <c r="AA120" i="16"/>
  <c r="Z120" i="16"/>
  <c r="Y120" i="16"/>
  <c r="U120" i="16"/>
  <c r="S120" i="16" s="1"/>
  <c r="X120" i="16" s="1"/>
  <c r="P120" i="16"/>
  <c r="O120" i="16"/>
  <c r="L120" i="16" s="1"/>
  <c r="AA119" i="16"/>
  <c r="Z119" i="16"/>
  <c r="Y119" i="16"/>
  <c r="U119" i="16"/>
  <c r="S119" i="16" s="1"/>
  <c r="X119" i="16" s="1"/>
  <c r="P119" i="16"/>
  <c r="O119" i="16"/>
  <c r="AA118" i="16"/>
  <c r="Z118" i="16"/>
  <c r="Y118" i="16"/>
  <c r="S118" i="16"/>
  <c r="X118" i="16" s="1"/>
  <c r="P118" i="16"/>
  <c r="O118" i="16"/>
  <c r="AA117" i="16"/>
  <c r="Z117" i="16"/>
  <c r="Y117" i="16"/>
  <c r="U117" i="16"/>
  <c r="S117" i="16"/>
  <c r="X117" i="16" s="1"/>
  <c r="P117" i="16"/>
  <c r="O117" i="16"/>
  <c r="Q117" i="16" s="1"/>
  <c r="AA116" i="16"/>
  <c r="Z116" i="16"/>
  <c r="Y116" i="16"/>
  <c r="S116" i="16"/>
  <c r="X116" i="16" s="1"/>
  <c r="P116" i="16"/>
  <c r="O116" i="16"/>
  <c r="Q116" i="16" s="1"/>
  <c r="L116" i="16"/>
  <c r="AA115" i="16"/>
  <c r="Z115" i="16"/>
  <c r="Y115" i="16"/>
  <c r="S115" i="16"/>
  <c r="X115" i="16" s="1"/>
  <c r="Q115" i="16"/>
  <c r="P115" i="16"/>
  <c r="O115" i="16"/>
  <c r="L115" i="16"/>
  <c r="W115" i="16" s="1"/>
  <c r="AA114" i="16"/>
  <c r="Z114" i="16"/>
  <c r="Y114" i="16"/>
  <c r="U114" i="16"/>
  <c r="S114" i="16" s="1"/>
  <c r="X114" i="16" s="1"/>
  <c r="P114" i="16"/>
  <c r="O114" i="16"/>
  <c r="L114" i="16" s="1"/>
  <c r="AA113" i="16"/>
  <c r="Z113" i="16"/>
  <c r="Y113" i="16"/>
  <c r="U113" i="16"/>
  <c r="S113" i="16"/>
  <c r="X113" i="16" s="1"/>
  <c r="P113" i="16"/>
  <c r="O113" i="16"/>
  <c r="AA112" i="16"/>
  <c r="Z112" i="16"/>
  <c r="Y112" i="16"/>
  <c r="U112" i="16"/>
  <c r="S112" i="16" s="1"/>
  <c r="X112" i="16" s="1"/>
  <c r="P112" i="16"/>
  <c r="O112" i="16"/>
  <c r="AA111" i="16"/>
  <c r="Z111" i="16"/>
  <c r="Y111" i="16"/>
  <c r="S111" i="16"/>
  <c r="X111" i="16" s="1"/>
  <c r="P111" i="16"/>
  <c r="O111" i="16"/>
  <c r="AA110" i="16"/>
  <c r="Z110" i="16"/>
  <c r="Y110" i="16"/>
  <c r="S110" i="16"/>
  <c r="X110" i="16" s="1"/>
  <c r="P110" i="16"/>
  <c r="O110" i="16"/>
  <c r="AA109" i="16"/>
  <c r="Z109" i="16"/>
  <c r="Y109" i="16"/>
  <c r="U109" i="16"/>
  <c r="S109" i="16"/>
  <c r="X109" i="16" s="1"/>
  <c r="P109" i="16"/>
  <c r="O109" i="16"/>
  <c r="AA108" i="16"/>
  <c r="Z108" i="16"/>
  <c r="Y108" i="16"/>
  <c r="S108" i="16"/>
  <c r="X108" i="16" s="1"/>
  <c r="P108" i="16"/>
  <c r="O108" i="16"/>
  <c r="Q108" i="16" s="1"/>
  <c r="L108" i="16"/>
  <c r="AA107" i="16"/>
  <c r="Z107" i="16"/>
  <c r="Y107" i="16"/>
  <c r="U107" i="16"/>
  <c r="S107" i="16" s="1"/>
  <c r="X107" i="16" s="1"/>
  <c r="P107" i="16"/>
  <c r="O107" i="16"/>
  <c r="AA106" i="16"/>
  <c r="Z106" i="16"/>
  <c r="Y106" i="16"/>
  <c r="U106" i="16"/>
  <c r="S106" i="16" s="1"/>
  <c r="X106" i="16" s="1"/>
  <c r="P106" i="16"/>
  <c r="O106" i="16"/>
  <c r="Q106" i="16" s="1"/>
  <c r="AA105" i="16"/>
  <c r="Z105" i="16"/>
  <c r="Y105" i="16"/>
  <c r="S105" i="16"/>
  <c r="X105" i="16" s="1"/>
  <c r="P105" i="16"/>
  <c r="O105" i="16"/>
  <c r="Q105" i="16" s="1"/>
  <c r="L105" i="16"/>
  <c r="AA104" i="16"/>
  <c r="Z104" i="16"/>
  <c r="Y104" i="16"/>
  <c r="U104" i="16"/>
  <c r="S104" i="16" s="1"/>
  <c r="X104" i="16" s="1"/>
  <c r="P104" i="16"/>
  <c r="O104" i="16"/>
  <c r="L104" i="16" s="1"/>
  <c r="AA103" i="16"/>
  <c r="Z103" i="16"/>
  <c r="Y103" i="16"/>
  <c r="S103" i="16"/>
  <c r="X103" i="16" s="1"/>
  <c r="Q103" i="16"/>
  <c r="P103" i="16"/>
  <c r="O103" i="16"/>
  <c r="L103" i="16" s="1"/>
  <c r="AA102" i="16"/>
  <c r="Z102" i="16"/>
  <c r="Y102" i="16"/>
  <c r="U102" i="16"/>
  <c r="S102" i="16" s="1"/>
  <c r="X102" i="16" s="1"/>
  <c r="P102" i="16"/>
  <c r="O102" i="16"/>
  <c r="Q102" i="16" s="1"/>
  <c r="AA101" i="16"/>
  <c r="Z101" i="16"/>
  <c r="Y101" i="16"/>
  <c r="U101" i="16"/>
  <c r="S101" i="16" s="1"/>
  <c r="X101" i="16" s="1"/>
  <c r="P101" i="16"/>
  <c r="O101" i="16"/>
  <c r="L101" i="16" s="1"/>
  <c r="AA100" i="16"/>
  <c r="Z100" i="16"/>
  <c r="Y100" i="16"/>
  <c r="S100" i="16"/>
  <c r="X100" i="16" s="1"/>
  <c r="P100" i="16"/>
  <c r="O100" i="16"/>
  <c r="L100" i="16" s="1"/>
  <c r="AA99" i="16"/>
  <c r="Z99" i="16"/>
  <c r="Y99" i="16"/>
  <c r="U99" i="16"/>
  <c r="S99" i="16" s="1"/>
  <c r="X99" i="16" s="1"/>
  <c r="P99" i="16"/>
  <c r="O99" i="16"/>
  <c r="Q99" i="16" s="1"/>
  <c r="AA98" i="16"/>
  <c r="Z98" i="16"/>
  <c r="Y98" i="16"/>
  <c r="U98" i="16"/>
  <c r="S98" i="16" s="1"/>
  <c r="X98" i="16" s="1"/>
  <c r="P98" i="16"/>
  <c r="O98" i="16"/>
  <c r="AA97" i="16"/>
  <c r="Z97" i="16"/>
  <c r="Y97" i="16"/>
  <c r="U97" i="16"/>
  <c r="S97" i="16" s="1"/>
  <c r="X97" i="16" s="1"/>
  <c r="P97" i="16"/>
  <c r="O97" i="16"/>
  <c r="Q97" i="16" s="1"/>
  <c r="AA96" i="16"/>
  <c r="Z96" i="16"/>
  <c r="Y96" i="16"/>
  <c r="U96" i="16"/>
  <c r="S96" i="16" s="1"/>
  <c r="X96" i="16" s="1"/>
  <c r="P96" i="16"/>
  <c r="O96" i="16"/>
  <c r="Q96" i="16" s="1"/>
  <c r="AA95" i="16"/>
  <c r="Z95" i="16"/>
  <c r="Y95" i="16"/>
  <c r="S95" i="16"/>
  <c r="X95" i="16" s="1"/>
  <c r="P95" i="16"/>
  <c r="O95" i="16"/>
  <c r="Q95" i="16" s="1"/>
  <c r="L95" i="16"/>
  <c r="U94" i="16"/>
  <c r="S94" i="16" s="1"/>
  <c r="T94" i="16"/>
  <c r="P94" i="16"/>
  <c r="O94" i="16"/>
  <c r="Q94" i="16" s="1"/>
  <c r="U93" i="16"/>
  <c r="S93" i="16" s="1"/>
  <c r="X93" i="16" s="1"/>
  <c r="P93" i="16"/>
  <c r="O93" i="16"/>
  <c r="Q93" i="16" s="1"/>
  <c r="L93" i="16"/>
  <c r="AA92" i="16"/>
  <c r="Z92" i="16"/>
  <c r="Y92" i="16"/>
  <c r="U92" i="16"/>
  <c r="S92" i="16"/>
  <c r="X92" i="16" s="1"/>
  <c r="P92" i="16"/>
  <c r="O92" i="16"/>
  <c r="Q92" i="16" s="1"/>
  <c r="L92" i="16"/>
  <c r="W92" i="16" s="1"/>
  <c r="AA91" i="16"/>
  <c r="Z91" i="16"/>
  <c r="Y91" i="16"/>
  <c r="V91" i="16"/>
  <c r="U91" i="16"/>
  <c r="S91" i="16" s="1"/>
  <c r="P91" i="16"/>
  <c r="O91" i="16"/>
  <c r="L91" i="16" s="1"/>
  <c r="Y90" i="16"/>
  <c r="U90" i="16"/>
  <c r="S90" i="16"/>
  <c r="X90" i="16" s="1"/>
  <c r="P90" i="16"/>
  <c r="O90" i="16"/>
  <c r="Q90" i="16" s="1"/>
  <c r="X89" i="16"/>
  <c r="P89" i="16"/>
  <c r="O89" i="16"/>
  <c r="Q89" i="16" s="1"/>
  <c r="AA88" i="16"/>
  <c r="Z88" i="16"/>
  <c r="Y88" i="16"/>
  <c r="S88" i="16"/>
  <c r="X88" i="16" s="1"/>
  <c r="P88" i="16"/>
  <c r="O88" i="16"/>
  <c r="Q88" i="16" s="1"/>
  <c r="L88" i="16"/>
  <c r="AA87" i="16"/>
  <c r="Z87" i="16"/>
  <c r="Y87" i="16"/>
  <c r="U87" i="16"/>
  <c r="S87" i="16" s="1"/>
  <c r="X87" i="16" s="1"/>
  <c r="P87" i="16"/>
  <c r="O87" i="16"/>
  <c r="L87" i="16" s="1"/>
  <c r="AA86" i="16"/>
  <c r="Z86" i="16"/>
  <c r="Y86" i="16"/>
  <c r="U86" i="16"/>
  <c r="S86" i="16" s="1"/>
  <c r="X86" i="16" s="1"/>
  <c r="P86" i="16"/>
  <c r="O86" i="16"/>
  <c r="Q86" i="16" s="1"/>
  <c r="AA85" i="16"/>
  <c r="Z85" i="16"/>
  <c r="Y85" i="16"/>
  <c r="U85" i="16"/>
  <c r="S85" i="16" s="1"/>
  <c r="X85" i="16" s="1"/>
  <c r="P85" i="16"/>
  <c r="O85" i="16"/>
  <c r="AA84" i="16"/>
  <c r="Z84" i="16"/>
  <c r="Y84" i="16"/>
  <c r="S84" i="16"/>
  <c r="X84" i="16" s="1"/>
  <c r="P84" i="16"/>
  <c r="O84" i="16"/>
  <c r="L84" i="16" s="1"/>
  <c r="W84" i="16" s="1"/>
  <c r="AA83" i="16"/>
  <c r="Z83" i="16"/>
  <c r="Y83" i="16"/>
  <c r="U83" i="16"/>
  <c r="S83" i="16" s="1"/>
  <c r="X83" i="16" s="1"/>
  <c r="P83" i="16"/>
  <c r="O83" i="16"/>
  <c r="L83" i="16" s="1"/>
  <c r="AA82" i="16"/>
  <c r="Z82" i="16"/>
  <c r="Y82" i="16"/>
  <c r="U82" i="16"/>
  <c r="S82" i="16" s="1"/>
  <c r="X82" i="16" s="1"/>
  <c r="P82" i="16"/>
  <c r="O82" i="16"/>
  <c r="AA81" i="16"/>
  <c r="Z81" i="16"/>
  <c r="Y81" i="16"/>
  <c r="S81" i="16"/>
  <c r="X81" i="16" s="1"/>
  <c r="P81" i="16"/>
  <c r="O81" i="16"/>
  <c r="L81" i="16" s="1"/>
  <c r="W81" i="16" s="1"/>
  <c r="AA80" i="16"/>
  <c r="Z80" i="16"/>
  <c r="Y80" i="16"/>
  <c r="U80" i="16"/>
  <c r="S80" i="16" s="1"/>
  <c r="X80" i="16" s="1"/>
  <c r="P80" i="16"/>
  <c r="O80" i="16"/>
  <c r="Q80" i="16" s="1"/>
  <c r="AA79" i="16"/>
  <c r="Z79" i="16"/>
  <c r="Y79" i="16"/>
  <c r="S79" i="16"/>
  <c r="X79" i="16" s="1"/>
  <c r="P79" i="16"/>
  <c r="O79" i="16"/>
  <c r="Q79" i="16" s="1"/>
  <c r="L79" i="16"/>
  <c r="AA78" i="16"/>
  <c r="Z78" i="16"/>
  <c r="Y78" i="16"/>
  <c r="X78" i="16"/>
  <c r="U78" i="16"/>
  <c r="S78" i="16"/>
  <c r="P78" i="16"/>
  <c r="O78" i="16"/>
  <c r="Q78" i="16" s="1"/>
  <c r="AA77" i="16"/>
  <c r="Z77" i="16"/>
  <c r="Y77" i="16"/>
  <c r="U77" i="16"/>
  <c r="S77" i="16" s="1"/>
  <c r="X77" i="16" s="1"/>
  <c r="P77" i="16"/>
  <c r="O77" i="16"/>
  <c r="L77" i="16" s="1"/>
  <c r="AA76" i="16"/>
  <c r="Z76" i="16"/>
  <c r="Y76" i="16"/>
  <c r="U76" i="16"/>
  <c r="S76" i="16" s="1"/>
  <c r="X76" i="16" s="1"/>
  <c r="P76" i="16"/>
  <c r="O76" i="16"/>
  <c r="AA75" i="16"/>
  <c r="Z75" i="16"/>
  <c r="Y75" i="16"/>
  <c r="S75" i="16"/>
  <c r="X75" i="16" s="1"/>
  <c r="P75" i="16"/>
  <c r="O75" i="16"/>
  <c r="L75" i="16" s="1"/>
  <c r="W75" i="16" s="1"/>
  <c r="AA74" i="16"/>
  <c r="Z74" i="16"/>
  <c r="Y74" i="16"/>
  <c r="S74" i="16"/>
  <c r="X74" i="16" s="1"/>
  <c r="P74" i="16"/>
  <c r="O74" i="16"/>
  <c r="AA73" i="16"/>
  <c r="U73" i="16"/>
  <c r="S73" i="16" s="1"/>
  <c r="X73" i="16" s="1"/>
  <c r="P73" i="16"/>
  <c r="O73" i="16"/>
  <c r="L73" i="16" s="1"/>
  <c r="X72" i="16"/>
  <c r="S72" i="16"/>
  <c r="P72" i="16"/>
  <c r="O72" i="16"/>
  <c r="AA71" i="16"/>
  <c r="U71" i="16"/>
  <c r="S71" i="16"/>
  <c r="X71" i="16" s="1"/>
  <c r="Q71" i="16"/>
  <c r="P71" i="16"/>
  <c r="O71" i="16"/>
  <c r="L71" i="16"/>
  <c r="W71" i="16" s="1"/>
  <c r="AA70" i="16"/>
  <c r="U70" i="16"/>
  <c r="S70" i="16"/>
  <c r="X70" i="16" s="1"/>
  <c r="Q70" i="16"/>
  <c r="P70" i="16"/>
  <c r="O70" i="16"/>
  <c r="L70" i="16"/>
  <c r="W70" i="16" s="1"/>
  <c r="AA69" i="16"/>
  <c r="S69" i="16"/>
  <c r="X69" i="16" s="1"/>
  <c r="P69" i="16"/>
  <c r="O69" i="16"/>
  <c r="Q69" i="16" s="1"/>
  <c r="AA68" i="16"/>
  <c r="Z68" i="16"/>
  <c r="Y68" i="16"/>
  <c r="U68" i="16"/>
  <c r="S68" i="16" s="1"/>
  <c r="X68" i="16" s="1"/>
  <c r="P68" i="16"/>
  <c r="O68" i="16"/>
  <c r="Q68" i="16" s="1"/>
  <c r="AA67" i="16"/>
  <c r="Z67" i="16"/>
  <c r="Y67" i="16"/>
  <c r="U67" i="16"/>
  <c r="S67" i="16" s="1"/>
  <c r="X67" i="16" s="1"/>
  <c r="P67" i="16"/>
  <c r="O67" i="16"/>
  <c r="U66" i="16"/>
  <c r="S66" i="16" s="1"/>
  <c r="X66" i="16" s="1"/>
  <c r="P66" i="16"/>
  <c r="O66" i="16"/>
  <c r="AA65" i="16"/>
  <c r="Z65" i="16"/>
  <c r="Y65" i="16"/>
  <c r="U65" i="16"/>
  <c r="S65" i="16" s="1"/>
  <c r="X65" i="16" s="1"/>
  <c r="P65" i="16"/>
  <c r="O65" i="16"/>
  <c r="Q65" i="16" s="1"/>
  <c r="AA64" i="16"/>
  <c r="Z64" i="16"/>
  <c r="Y64" i="16"/>
  <c r="U64" i="16"/>
  <c r="S64" i="16" s="1"/>
  <c r="X64" i="16" s="1"/>
  <c r="P64" i="16"/>
  <c r="O64" i="16"/>
  <c r="L64" i="16" s="1"/>
  <c r="W64" i="16" s="1"/>
  <c r="AA63" i="16"/>
  <c r="Z63" i="16"/>
  <c r="Y63" i="16"/>
  <c r="U63" i="16"/>
  <c r="S63" i="16" s="1"/>
  <c r="X63" i="16" s="1"/>
  <c r="P63" i="16"/>
  <c r="O63" i="16"/>
  <c r="Q63" i="16" s="1"/>
  <c r="L63" i="16"/>
  <c r="AA62" i="16"/>
  <c r="Z62" i="16"/>
  <c r="Y62" i="16"/>
  <c r="S62" i="16"/>
  <c r="X62" i="16" s="1"/>
  <c r="P62" i="16"/>
  <c r="O62" i="16"/>
  <c r="Q62" i="16" s="1"/>
  <c r="AA61" i="16"/>
  <c r="Z61" i="16"/>
  <c r="Y61" i="16"/>
  <c r="S61" i="16"/>
  <c r="X61" i="16" s="1"/>
  <c r="P61" i="16"/>
  <c r="O61" i="16"/>
  <c r="Q61" i="16" s="1"/>
  <c r="AA60" i="16"/>
  <c r="Z60" i="16"/>
  <c r="Y60" i="16"/>
  <c r="U60" i="16"/>
  <c r="S60" i="16" s="1"/>
  <c r="X60" i="16" s="1"/>
  <c r="P60" i="16"/>
  <c r="O60" i="16"/>
  <c r="AA59" i="16"/>
  <c r="Z59" i="16"/>
  <c r="Y59" i="16"/>
  <c r="U59" i="16"/>
  <c r="S59" i="16"/>
  <c r="X59" i="16" s="1"/>
  <c r="P59" i="16"/>
  <c r="O59" i="16"/>
  <c r="Q59" i="16" s="1"/>
  <c r="L59" i="16"/>
  <c r="AA58" i="16"/>
  <c r="Z58" i="16"/>
  <c r="Y58" i="16"/>
  <c r="S58" i="16"/>
  <c r="X58" i="16" s="1"/>
  <c r="Q58" i="16"/>
  <c r="P58" i="16"/>
  <c r="O58" i="16"/>
  <c r="L58" i="16"/>
  <c r="W58" i="16" s="1"/>
  <c r="AA57" i="16"/>
  <c r="Z57" i="16"/>
  <c r="Y57" i="16"/>
  <c r="U57" i="16"/>
  <c r="S57" i="16" s="1"/>
  <c r="X57" i="16" s="1"/>
  <c r="P57" i="16"/>
  <c r="O57" i="16"/>
  <c r="AA56" i="16"/>
  <c r="Z56" i="16"/>
  <c r="Y56" i="16"/>
  <c r="S56" i="16"/>
  <c r="X56" i="16" s="1"/>
  <c r="P56" i="16"/>
  <c r="O56" i="16"/>
  <c r="L56" i="16" s="1"/>
  <c r="AA55" i="16"/>
  <c r="Z55" i="16"/>
  <c r="Y55" i="16"/>
  <c r="S55" i="16"/>
  <c r="X55" i="16" s="1"/>
  <c r="P55" i="16"/>
  <c r="O55" i="16"/>
  <c r="Y54" i="16"/>
  <c r="U54" i="16"/>
  <c r="S54" i="16" s="1"/>
  <c r="X54" i="16" s="1"/>
  <c r="P54" i="16"/>
  <c r="O54" i="16"/>
  <c r="Q54" i="16" s="1"/>
  <c r="AA53" i="16"/>
  <c r="Z53" i="16"/>
  <c r="Y53" i="16"/>
  <c r="U53" i="16"/>
  <c r="S53" i="16" s="1"/>
  <c r="X53" i="16" s="1"/>
  <c r="P53" i="16"/>
  <c r="O53" i="16"/>
  <c r="AA52" i="16"/>
  <c r="Z52" i="16"/>
  <c r="Y52" i="16"/>
  <c r="U52" i="16"/>
  <c r="S52" i="16" s="1"/>
  <c r="X52" i="16" s="1"/>
  <c r="P52" i="16"/>
  <c r="O52" i="16"/>
  <c r="Q52" i="16" s="1"/>
  <c r="L52" i="16"/>
  <c r="AA51" i="16"/>
  <c r="Z51" i="16"/>
  <c r="Y51" i="16"/>
  <c r="U51" i="16"/>
  <c r="S51" i="16" s="1"/>
  <c r="X51" i="16" s="1"/>
  <c r="Q51" i="16"/>
  <c r="P51" i="16"/>
  <c r="O51" i="16"/>
  <c r="L51" i="16" s="1"/>
  <c r="AA50" i="16"/>
  <c r="Z50" i="16"/>
  <c r="Y50" i="16"/>
  <c r="U50" i="16"/>
  <c r="S50" i="16"/>
  <c r="X50" i="16" s="1"/>
  <c r="Q50" i="16"/>
  <c r="P50" i="16"/>
  <c r="O50" i="16"/>
  <c r="L50" i="16"/>
  <c r="W50" i="16" s="1"/>
  <c r="AA49" i="16"/>
  <c r="Z49" i="16"/>
  <c r="Y49" i="16"/>
  <c r="U49" i="16"/>
  <c r="S49" i="16" s="1"/>
  <c r="X49" i="16" s="1"/>
  <c r="P49" i="16"/>
  <c r="O49" i="16"/>
  <c r="AA48" i="16"/>
  <c r="Z48" i="16"/>
  <c r="Y48" i="16"/>
  <c r="S48" i="16"/>
  <c r="X48" i="16" s="1"/>
  <c r="P48" i="16"/>
  <c r="O48" i="16"/>
  <c r="L48" i="16" s="1"/>
  <c r="AA47" i="16"/>
  <c r="Z47" i="16"/>
  <c r="Y47" i="16"/>
  <c r="S47" i="16"/>
  <c r="X47" i="16" s="1"/>
  <c r="P47" i="16"/>
  <c r="O47" i="16"/>
  <c r="AA46" i="16"/>
  <c r="Z46" i="16"/>
  <c r="Y46" i="16"/>
  <c r="U46" i="16"/>
  <c r="S46" i="16" s="1"/>
  <c r="X46" i="16" s="1"/>
  <c r="P46" i="16"/>
  <c r="O46" i="16"/>
  <c r="Q46" i="16" s="1"/>
  <c r="L46" i="16"/>
  <c r="AA45" i="16"/>
  <c r="Z45" i="16"/>
  <c r="Y45" i="16"/>
  <c r="X45" i="16"/>
  <c r="U45" i="16"/>
  <c r="S45" i="16" s="1"/>
  <c r="P45" i="16"/>
  <c r="O45" i="16"/>
  <c r="AA44" i="16"/>
  <c r="Z44" i="16"/>
  <c r="Y44" i="16"/>
  <c r="S44" i="16"/>
  <c r="X44" i="16" s="1"/>
  <c r="P44" i="16"/>
  <c r="O44" i="16"/>
  <c r="AA43" i="16"/>
  <c r="Z43" i="16"/>
  <c r="Y43" i="16"/>
  <c r="S43" i="16"/>
  <c r="X43" i="16" s="1"/>
  <c r="P43" i="16"/>
  <c r="O43" i="16"/>
  <c r="L43" i="16" s="1"/>
  <c r="W43" i="16" s="1"/>
  <c r="AA42" i="16"/>
  <c r="Z42" i="16"/>
  <c r="Y42" i="16"/>
  <c r="U42" i="16"/>
  <c r="S42" i="16" s="1"/>
  <c r="X42" i="16" s="1"/>
  <c r="Q42" i="16"/>
  <c r="P42" i="16"/>
  <c r="O42" i="16"/>
  <c r="L42" i="16" s="1"/>
  <c r="AA41" i="16"/>
  <c r="Z41" i="16"/>
  <c r="Y41" i="16"/>
  <c r="U41" i="16"/>
  <c r="S41" i="16" s="1"/>
  <c r="X41" i="16" s="1"/>
  <c r="P41" i="16"/>
  <c r="O41" i="16"/>
  <c r="AA40" i="16"/>
  <c r="Z40" i="16"/>
  <c r="Y40" i="16"/>
  <c r="U40" i="16"/>
  <c r="S40" i="16" s="1"/>
  <c r="X40" i="16" s="1"/>
  <c r="P40" i="16"/>
  <c r="O40" i="16"/>
  <c r="Q40" i="16" s="1"/>
  <c r="U39" i="16"/>
  <c r="S39" i="16" s="1"/>
  <c r="X39" i="16" s="1"/>
  <c r="P39" i="16"/>
  <c r="O39" i="16"/>
  <c r="Q39" i="16" s="1"/>
  <c r="AA38" i="16"/>
  <c r="Z38" i="16"/>
  <c r="Y38" i="16"/>
  <c r="S38" i="16"/>
  <c r="X38" i="16" s="1"/>
  <c r="P38" i="16"/>
  <c r="O38" i="16"/>
  <c r="L38" i="16" s="1"/>
  <c r="AA37" i="16"/>
  <c r="Z37" i="16"/>
  <c r="Y37" i="16"/>
  <c r="S37" i="16"/>
  <c r="X37" i="16" s="1"/>
  <c r="P37" i="16"/>
  <c r="O37" i="16"/>
  <c r="AA36" i="16"/>
  <c r="Z36" i="16"/>
  <c r="Y36" i="16"/>
  <c r="U36" i="16"/>
  <c r="S36" i="16" s="1"/>
  <c r="X36" i="16" s="1"/>
  <c r="P36" i="16"/>
  <c r="O36" i="16"/>
  <c r="L36" i="16" s="1"/>
  <c r="AA35" i="16"/>
  <c r="Z35" i="16"/>
  <c r="Y35" i="16"/>
  <c r="U35" i="16"/>
  <c r="S35" i="16"/>
  <c r="X35" i="16" s="1"/>
  <c r="P35" i="16"/>
  <c r="O35" i="16"/>
  <c r="Q35" i="16" s="1"/>
  <c r="L35" i="16"/>
  <c r="W35" i="16" s="1"/>
  <c r="AA34" i="16"/>
  <c r="Z34" i="16"/>
  <c r="Y34" i="16"/>
  <c r="S34" i="16"/>
  <c r="X34" i="16" s="1"/>
  <c r="P34" i="16"/>
  <c r="O34" i="16"/>
  <c r="Q34" i="16" s="1"/>
  <c r="AA33" i="16"/>
  <c r="Z33" i="16"/>
  <c r="Y33" i="16"/>
  <c r="U33" i="16"/>
  <c r="S33" i="16" s="1"/>
  <c r="X33" i="16" s="1"/>
  <c r="P33" i="16"/>
  <c r="O33" i="16"/>
  <c r="Q33" i="16" s="1"/>
  <c r="AA32" i="16"/>
  <c r="Z32" i="16"/>
  <c r="Y32" i="16"/>
  <c r="U32" i="16"/>
  <c r="S32" i="16"/>
  <c r="X32" i="16" s="1"/>
  <c r="Q32" i="16"/>
  <c r="P32" i="16"/>
  <c r="O32" i="16"/>
  <c r="L32" i="16"/>
  <c r="W32" i="16" s="1"/>
  <c r="AA31" i="16"/>
  <c r="Z31" i="16"/>
  <c r="Y31" i="16"/>
  <c r="U31" i="16"/>
  <c r="S31" i="16" s="1"/>
  <c r="X31" i="16" s="1"/>
  <c r="P31" i="16"/>
  <c r="O31" i="16"/>
  <c r="L31" i="16" s="1"/>
  <c r="AA30" i="16"/>
  <c r="Z30" i="16"/>
  <c r="Y30" i="16"/>
  <c r="U30" i="16"/>
  <c r="S30" i="16" s="1"/>
  <c r="X30" i="16" s="1"/>
  <c r="P30" i="16"/>
  <c r="O30" i="16"/>
  <c r="Q30" i="16" s="1"/>
  <c r="AA29" i="16"/>
  <c r="Z29" i="16"/>
  <c r="Y29" i="16"/>
  <c r="S29" i="16"/>
  <c r="X29" i="16" s="1"/>
  <c r="P29" i="16"/>
  <c r="O29" i="16"/>
  <c r="Q29" i="16" s="1"/>
  <c r="AA28" i="16"/>
  <c r="Z28" i="16"/>
  <c r="Y28" i="16"/>
  <c r="S28" i="16"/>
  <c r="X28" i="16" s="1"/>
  <c r="P28" i="16"/>
  <c r="O28" i="16"/>
  <c r="Q28" i="16" s="1"/>
  <c r="AA27" i="16"/>
  <c r="Z27" i="16"/>
  <c r="Y27" i="16"/>
  <c r="U27" i="16"/>
  <c r="S27" i="16" s="1"/>
  <c r="X27" i="16" s="1"/>
  <c r="P27" i="16"/>
  <c r="O27" i="16"/>
  <c r="Q27" i="16" s="1"/>
  <c r="AA26" i="16"/>
  <c r="Z26" i="16"/>
  <c r="Y26" i="16"/>
  <c r="U26" i="16"/>
  <c r="S26" i="16"/>
  <c r="X26" i="16" s="1"/>
  <c r="P26" i="16"/>
  <c r="O26" i="16"/>
  <c r="Q26" i="16" s="1"/>
  <c r="L26" i="16"/>
  <c r="AA25" i="16"/>
  <c r="Z25" i="16"/>
  <c r="Y25" i="16"/>
  <c r="U25" i="16"/>
  <c r="S25" i="16" s="1"/>
  <c r="X25" i="16" s="1"/>
  <c r="P25" i="16"/>
  <c r="O25" i="16"/>
  <c r="L25" i="16" s="1"/>
  <c r="AA24" i="16"/>
  <c r="Z24" i="16"/>
  <c r="Y24" i="16"/>
  <c r="U24" i="16"/>
  <c r="S24" i="16"/>
  <c r="X24" i="16" s="1"/>
  <c r="P24" i="16"/>
  <c r="O24" i="16"/>
  <c r="Q24" i="16" s="1"/>
  <c r="AA23" i="16"/>
  <c r="Z23" i="16"/>
  <c r="Y23" i="16"/>
  <c r="U23" i="16"/>
  <c r="S23" i="16"/>
  <c r="X23" i="16" s="1"/>
  <c r="P23" i="16"/>
  <c r="O23" i="16"/>
  <c r="AA22" i="16"/>
  <c r="Z22" i="16"/>
  <c r="Y22" i="16"/>
  <c r="U22" i="16"/>
  <c r="S22" i="16"/>
  <c r="X22" i="16" s="1"/>
  <c r="P22" i="16"/>
  <c r="O22" i="16"/>
  <c r="Q22" i="16" s="1"/>
  <c r="AA21" i="16"/>
  <c r="Z21" i="16"/>
  <c r="Y21" i="16"/>
  <c r="U21" i="16"/>
  <c r="S21" i="16" s="1"/>
  <c r="X21" i="16" s="1"/>
  <c r="P21" i="16"/>
  <c r="O21" i="16"/>
  <c r="L21" i="16" s="1"/>
  <c r="W21" i="16" s="1"/>
  <c r="AA20" i="16"/>
  <c r="Z20" i="16"/>
  <c r="Y20" i="16"/>
  <c r="U20" i="16"/>
  <c r="S20" i="16" s="1"/>
  <c r="X20" i="16" s="1"/>
  <c r="P20" i="16"/>
  <c r="O20" i="16"/>
  <c r="Q20" i="16" s="1"/>
  <c r="AA19" i="16"/>
  <c r="Z19" i="16"/>
  <c r="Y19" i="16"/>
  <c r="U19" i="16"/>
  <c r="S19" i="16" s="1"/>
  <c r="X19" i="16" s="1"/>
  <c r="P19" i="16"/>
  <c r="O19" i="16"/>
  <c r="L19" i="16" s="1"/>
  <c r="W19" i="16" s="1"/>
  <c r="AA18" i="16"/>
  <c r="Z18" i="16"/>
  <c r="Y18" i="16"/>
  <c r="U18" i="16"/>
  <c r="S18" i="16" s="1"/>
  <c r="X18" i="16" s="1"/>
  <c r="P18" i="16"/>
  <c r="O18" i="16"/>
  <c r="Q18" i="16" s="1"/>
  <c r="AA17" i="16"/>
  <c r="Z17" i="16"/>
  <c r="Y17" i="16"/>
  <c r="U17" i="16"/>
  <c r="S17" i="16" s="1"/>
  <c r="X17" i="16" s="1"/>
  <c r="P17" i="16"/>
  <c r="O17" i="16"/>
  <c r="L17" i="16" s="1"/>
  <c r="AA16" i="16"/>
  <c r="Z16" i="16"/>
  <c r="Y16" i="16"/>
  <c r="U16" i="16"/>
  <c r="S16" i="16" s="1"/>
  <c r="X16" i="16" s="1"/>
  <c r="P16" i="16"/>
  <c r="O16" i="16"/>
  <c r="AA15" i="16"/>
  <c r="Z15" i="16"/>
  <c r="Y15" i="16"/>
  <c r="U15" i="16"/>
  <c r="S15" i="16" s="1"/>
  <c r="X15" i="16" s="1"/>
  <c r="P15" i="16"/>
  <c r="O15" i="16"/>
  <c r="L15" i="16" s="1"/>
  <c r="AA14" i="16"/>
  <c r="Z14" i="16"/>
  <c r="Y14" i="16"/>
  <c r="U14" i="16"/>
  <c r="S14" i="16"/>
  <c r="X14" i="16" s="1"/>
  <c r="Q14" i="16"/>
  <c r="P14" i="16"/>
  <c r="O14" i="16"/>
  <c r="L14" i="16"/>
  <c r="W14" i="16" s="1"/>
  <c r="AA13" i="16"/>
  <c r="Z13" i="16"/>
  <c r="Y13" i="16"/>
  <c r="U13" i="16"/>
  <c r="S13" i="16" s="1"/>
  <c r="X13" i="16" s="1"/>
  <c r="Q13" i="16"/>
  <c r="P13" i="16"/>
  <c r="O13" i="16"/>
  <c r="L13" i="16" s="1"/>
  <c r="AA12" i="16"/>
  <c r="Z12" i="16"/>
  <c r="Y12" i="16"/>
  <c r="U12" i="16"/>
  <c r="S12" i="16"/>
  <c r="X12" i="16" s="1"/>
  <c r="P12" i="16"/>
  <c r="O12" i="16"/>
  <c r="AA11" i="16"/>
  <c r="Z11" i="16"/>
  <c r="Y11" i="16"/>
  <c r="S11" i="16"/>
  <c r="X11" i="16" s="1"/>
  <c r="P11" i="16"/>
  <c r="O11" i="16"/>
  <c r="L11" i="16" s="1"/>
  <c r="AA10" i="16"/>
  <c r="Z10" i="16"/>
  <c r="Y10" i="16"/>
  <c r="U10" i="16"/>
  <c r="S10" i="16" s="1"/>
  <c r="X10" i="16" s="1"/>
  <c r="Q10" i="16"/>
  <c r="P10" i="16"/>
  <c r="O10" i="16"/>
  <c r="L10" i="16" s="1"/>
  <c r="AA9" i="16"/>
  <c r="Z9" i="16"/>
  <c r="Y9" i="16"/>
  <c r="U9" i="16"/>
  <c r="S9" i="16"/>
  <c r="X9" i="16" s="1"/>
  <c r="P9" i="16"/>
  <c r="O9" i="16"/>
  <c r="Q9" i="16" s="1"/>
  <c r="L9" i="16"/>
  <c r="AA8" i="16"/>
  <c r="Z8" i="16"/>
  <c r="Y8" i="16"/>
  <c r="U8" i="16"/>
  <c r="S8" i="16"/>
  <c r="X8" i="16" s="1"/>
  <c r="P8" i="16"/>
  <c r="O8" i="16"/>
  <c r="Q8" i="16" s="1"/>
  <c r="L8" i="16"/>
  <c r="AA7" i="16"/>
  <c r="Z7" i="16"/>
  <c r="Y7" i="16"/>
  <c r="U7" i="16"/>
  <c r="S7" i="16"/>
  <c r="X7" i="16" s="1"/>
  <c r="P7" i="16"/>
  <c r="O7" i="16"/>
  <c r="Q7" i="16" s="1"/>
  <c r="L7" i="16"/>
  <c r="AA6" i="16"/>
  <c r="Z6" i="16"/>
  <c r="Y6" i="16"/>
  <c r="U6" i="16"/>
  <c r="S6" i="16" s="1"/>
  <c r="X6" i="16" s="1"/>
  <c r="P6" i="16"/>
  <c r="O6" i="16"/>
  <c r="L6" i="16" s="1"/>
  <c r="AA5" i="16"/>
  <c r="Z5" i="16"/>
  <c r="Y5" i="16"/>
  <c r="U5" i="16"/>
  <c r="S5" i="16" s="1"/>
  <c r="X5" i="16" s="1"/>
  <c r="P5" i="16"/>
  <c r="O5" i="16"/>
  <c r="Q5" i="16" s="1"/>
  <c r="AA4" i="16"/>
  <c r="Z4" i="16"/>
  <c r="Y4" i="16"/>
  <c r="U4" i="16"/>
  <c r="S4" i="16"/>
  <c r="X4" i="16" s="1"/>
  <c r="P4" i="16"/>
  <c r="O4" i="16"/>
  <c r="Q4" i="16" s="1"/>
  <c r="L4" i="16"/>
  <c r="W4" i="16" s="1"/>
  <c r="AA3" i="16"/>
  <c r="Z3" i="16"/>
  <c r="Y3" i="16"/>
  <c r="U3" i="16"/>
  <c r="S3" i="16" s="1"/>
  <c r="X3" i="16" s="1"/>
  <c r="P3" i="16"/>
  <c r="O3" i="16"/>
  <c r="L3" i="16" s="1"/>
  <c r="W3" i="16" l="1"/>
  <c r="W7" i="16"/>
  <c r="W38" i="16"/>
  <c r="Q43" i="16"/>
  <c r="W48" i="16"/>
  <c r="W56" i="16"/>
  <c r="Q64" i="16"/>
  <c r="Q84" i="16"/>
  <c r="W93" i="16"/>
  <c r="W103" i="16"/>
  <c r="Q142" i="16"/>
  <c r="Q147" i="16"/>
  <c r="Q150" i="16"/>
  <c r="W152" i="16"/>
  <c r="W6" i="16"/>
  <c r="W17" i="16"/>
  <c r="L22" i="16"/>
  <c r="W22" i="16" s="1"/>
  <c r="Q25" i="16"/>
  <c r="L28" i="16"/>
  <c r="W28" i="16" s="1"/>
  <c r="L33" i="16"/>
  <c r="W33" i="16" s="1"/>
  <c r="Q36" i="16"/>
  <c r="W42" i="16"/>
  <c r="L54" i="16"/>
  <c r="Q73" i="16"/>
  <c r="Q77" i="16"/>
  <c r="Q83" i="16"/>
  <c r="W87" i="16"/>
  <c r="X91" i="16"/>
  <c r="L97" i="16"/>
  <c r="W97" i="16" s="1"/>
  <c r="W100" i="16"/>
  <c r="L102" i="16"/>
  <c r="W102" i="16" s="1"/>
  <c r="Q104" i="16"/>
  <c r="L106" i="16"/>
  <c r="W120" i="16"/>
  <c r="W140" i="16"/>
  <c r="Q141" i="16"/>
  <c r="L143" i="16"/>
  <c r="W148" i="16"/>
  <c r="Q155" i="16"/>
  <c r="Q156" i="16"/>
  <c r="W163" i="16"/>
  <c r="W26" i="16"/>
  <c r="W73" i="16"/>
  <c r="W77" i="16"/>
  <c r="W83" i="16"/>
  <c r="W155" i="16"/>
  <c r="W54" i="16"/>
  <c r="W63" i="16"/>
  <c r="W106" i="16"/>
  <c r="Q3" i="16"/>
  <c r="W8" i="16"/>
  <c r="W9" i="16"/>
  <c r="Q15" i="16"/>
  <c r="Q37" i="16"/>
  <c r="L37" i="16"/>
  <c r="W37" i="16" s="1"/>
  <c r="Q11" i="16"/>
  <c r="Q16" i="16"/>
  <c r="L16" i="16"/>
  <c r="W16" i="16" s="1"/>
  <c r="L18" i="16"/>
  <c r="W18" i="16" s="1"/>
  <c r="W25" i="16"/>
  <c r="L45" i="16"/>
  <c r="W45" i="16" s="1"/>
  <c r="Q45" i="16"/>
  <c r="Q48" i="16"/>
  <c r="Q56" i="16"/>
  <c r="W59" i="16"/>
  <c r="L65" i="16"/>
  <c r="W65" i="16" s="1"/>
  <c r="L68" i="16"/>
  <c r="W68" i="16" s="1"/>
  <c r="L78" i="16"/>
  <c r="W78" i="16" s="1"/>
  <c r="L80" i="16"/>
  <c r="W80" i="16" s="1"/>
  <c r="L86" i="16"/>
  <c r="W86" i="16" s="1"/>
  <c r="L89" i="16"/>
  <c r="W89" i="16" s="1"/>
  <c r="L90" i="16"/>
  <c r="W90" i="16" s="1"/>
  <c r="Q91" i="16"/>
  <c r="L96" i="16"/>
  <c r="W96" i="16" s="1"/>
  <c r="Q113" i="16"/>
  <c r="L113" i="16"/>
  <c r="W113" i="16" s="1"/>
  <c r="L117" i="16"/>
  <c r="W117" i="16" s="1"/>
  <c r="Q140" i="16"/>
  <c r="L146" i="16"/>
  <c r="W146" i="16" s="1"/>
  <c r="Q148" i="16"/>
  <c r="L167" i="16"/>
  <c r="W167" i="16" s="1"/>
  <c r="Q12" i="16"/>
  <c r="L12" i="16"/>
  <c r="W12" i="16" s="1"/>
  <c r="L107" i="16"/>
  <c r="Q107" i="16"/>
  <c r="P172" i="16"/>
  <c r="Q23" i="16"/>
  <c r="L23" i="16"/>
  <c r="W23" i="16" s="1"/>
  <c r="L29" i="16"/>
  <c r="W29" i="16" s="1"/>
  <c r="L61" i="16"/>
  <c r="W61" i="16" s="1"/>
  <c r="L62" i="16"/>
  <c r="L69" i="16"/>
  <c r="W69" i="16" s="1"/>
  <c r="L99" i="16"/>
  <c r="W99" i="16" s="1"/>
  <c r="Q109" i="16"/>
  <c r="L109" i="16"/>
  <c r="W109" i="16" s="1"/>
  <c r="Q121" i="16"/>
  <c r="Q132" i="16"/>
  <c r="Q157" i="16"/>
  <c r="L157" i="16"/>
  <c r="X157" i="16"/>
  <c r="L158" i="16"/>
  <c r="W158" i="16" s="1"/>
  <c r="Q160" i="16"/>
  <c r="Q164" i="16"/>
  <c r="Q170" i="16"/>
  <c r="L170" i="16"/>
  <c r="W170" i="16" s="1"/>
  <c r="W124" i="16"/>
  <c r="Q149" i="16"/>
  <c r="L149" i="16"/>
  <c r="W149" i="16" s="1"/>
  <c r="AA172" i="16"/>
  <c r="W10" i="16"/>
  <c r="Q19" i="16"/>
  <c r="Q38" i="16"/>
  <c r="W46" i="16"/>
  <c r="Q75" i="16"/>
  <c r="Q81" i="16"/>
  <c r="Q87" i="16"/>
  <c r="W91" i="16"/>
  <c r="Q120" i="16"/>
  <c r="Q133" i="16"/>
  <c r="L133" i="16"/>
  <c r="W133" i="16" s="1"/>
  <c r="X133" i="16"/>
  <c r="Q137" i="16"/>
  <c r="Q138" i="16"/>
  <c r="W143" i="16"/>
  <c r="Q159" i="16"/>
  <c r="Q161" i="16"/>
  <c r="L161" i="16"/>
  <c r="W161" i="16" s="1"/>
  <c r="Q163" i="16"/>
  <c r="W13" i="16"/>
  <c r="W31" i="16"/>
  <c r="W122" i="16"/>
  <c r="W131" i="16"/>
  <c r="W141" i="16"/>
  <c r="W153" i="16"/>
  <c r="X155" i="16"/>
  <c r="W15" i="16"/>
  <c r="W36" i="16"/>
  <c r="W11" i="16"/>
  <c r="Q44" i="16"/>
  <c r="L44" i="16"/>
  <c r="W44" i="16" s="1"/>
  <c r="Q47" i="16"/>
  <c r="L47" i="16"/>
  <c r="W47" i="16" s="1"/>
  <c r="W94" i="16"/>
  <c r="X94" i="16"/>
  <c r="X172" i="16" s="1"/>
  <c r="L118" i="16"/>
  <c r="W118" i="16" s="1"/>
  <c r="Q118" i="16"/>
  <c r="L5" i="16"/>
  <c r="W5" i="16" s="1"/>
  <c r="Q17" i="16"/>
  <c r="L20" i="16"/>
  <c r="W20" i="16" s="1"/>
  <c r="L27" i="16"/>
  <c r="W27" i="16" s="1"/>
  <c r="L30" i="16"/>
  <c r="W30" i="16" s="1"/>
  <c r="L40" i="16"/>
  <c r="W40" i="16" s="1"/>
  <c r="L41" i="16"/>
  <c r="W41" i="16" s="1"/>
  <c r="Q41" i="16"/>
  <c r="Q49" i="16"/>
  <c r="L49" i="16"/>
  <c r="W49" i="16" s="1"/>
  <c r="W51" i="16"/>
  <c r="W52" i="16"/>
  <c r="Q53" i="16"/>
  <c r="L53" i="16"/>
  <c r="W53" i="16" s="1"/>
  <c r="W62" i="16"/>
  <c r="Q74" i="16"/>
  <c r="L74" i="16"/>
  <c r="W74" i="16" s="1"/>
  <c r="Q76" i="16"/>
  <c r="L76" i="16"/>
  <c r="W76" i="16" s="1"/>
  <c r="Q82" i="16"/>
  <c r="L82" i="16"/>
  <c r="W82" i="16" s="1"/>
  <c r="Q85" i="16"/>
  <c r="L85" i="16"/>
  <c r="W85" i="16" s="1"/>
  <c r="L111" i="16"/>
  <c r="W111" i="16" s="1"/>
  <c r="Q111" i="16"/>
  <c r="L119" i="16"/>
  <c r="W119" i="16" s="1"/>
  <c r="Q119" i="16"/>
  <c r="L110" i="16"/>
  <c r="W110" i="16" s="1"/>
  <c r="Q110" i="16"/>
  <c r="Q55" i="16"/>
  <c r="L55" i="16"/>
  <c r="W55" i="16" s="1"/>
  <c r="Q57" i="16"/>
  <c r="L57" i="16"/>
  <c r="W57" i="16" s="1"/>
  <c r="Q67" i="16"/>
  <c r="L67" i="16"/>
  <c r="W67" i="16" s="1"/>
  <c r="Q72" i="16"/>
  <c r="L72" i="16"/>
  <c r="W72" i="16" s="1"/>
  <c r="W88" i="16"/>
  <c r="W95" i="16"/>
  <c r="L98" i="16"/>
  <c r="W98" i="16" s="1"/>
  <c r="Q98" i="16"/>
  <c r="W127" i="16"/>
  <c r="W136" i="16"/>
  <c r="L166" i="16"/>
  <c r="W166" i="16" s="1"/>
  <c r="Q166" i="16"/>
  <c r="Q60" i="16"/>
  <c r="L60" i="16"/>
  <c r="W60" i="16" s="1"/>
  <c r="L162" i="16"/>
  <c r="W162" i="16" s="1"/>
  <c r="Q162" i="16"/>
  <c r="S172" i="16"/>
  <c r="Q6" i="16"/>
  <c r="Q21" i="16"/>
  <c r="L24" i="16"/>
  <c r="W24" i="16" s="1"/>
  <c r="Q31" i="16"/>
  <c r="L34" i="16"/>
  <c r="W34" i="16" s="1"/>
  <c r="L39" i="16"/>
  <c r="W39" i="16" s="1"/>
  <c r="Q66" i="16"/>
  <c r="L66" i="16"/>
  <c r="W66" i="16" s="1"/>
  <c r="W79" i="16"/>
  <c r="L112" i="16"/>
  <c r="W112" i="16" s="1"/>
  <c r="Q112" i="16"/>
  <c r="L125" i="16"/>
  <c r="W125" i="16" s="1"/>
  <c r="Q125" i="16"/>
  <c r="L130" i="16"/>
  <c r="W130" i="16" s="1"/>
  <c r="Q130" i="16"/>
  <c r="L144" i="16"/>
  <c r="W144" i="16" s="1"/>
  <c r="Q144" i="16"/>
  <c r="V172" i="16"/>
  <c r="U172" i="16"/>
  <c r="Z172" i="16"/>
  <c r="Q100" i="16"/>
  <c r="Q101" i="16"/>
  <c r="W107" i="16"/>
  <c r="W108" i="16"/>
  <c r="Q114" i="16"/>
  <c r="W123" i="16"/>
  <c r="Q131" i="16"/>
  <c r="W132" i="16"/>
  <c r="Q135" i="16"/>
  <c r="W138" i="16"/>
  <c r="W142" i="16"/>
  <c r="Q145" i="16"/>
  <c r="W151" i="16"/>
  <c r="Q153" i="16"/>
  <c r="Q154" i="16"/>
  <c r="W156" i="16"/>
  <c r="W157" i="16"/>
  <c r="Q171" i="16"/>
  <c r="W101" i="16"/>
  <c r="W114" i="16"/>
  <c r="W135" i="16"/>
  <c r="W145" i="16"/>
  <c r="W154" i="16"/>
  <c r="W171" i="16"/>
  <c r="W104" i="16"/>
  <c r="W105" i="16"/>
  <c r="W116" i="16"/>
  <c r="W128" i="16"/>
  <c r="W147" i="16"/>
  <c r="W159" i="16"/>
  <c r="W172" i="16" l="1"/>
  <c r="Q172" i="16"/>
  <c r="L172" i="16"/>
</calcChain>
</file>

<file path=xl/comments1.xml><?xml version="1.0" encoding="utf-8"?>
<comments xmlns="http://schemas.openxmlformats.org/spreadsheetml/2006/main">
  <authors>
    <author>Ирина Ильина Аркадьевна</author>
  </authors>
  <commentList>
    <comment ref="G39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дом постройки с 2008г
</t>
        </r>
      </text>
    </comment>
    <comment ref="U39" authorId="0" shapeId="0">
      <text>
        <r>
          <rPr>
            <b/>
            <sz val="9"/>
            <color indexed="81"/>
            <rFont val="Tahoma"/>
            <family val="2"/>
            <charset val="204"/>
          </rPr>
          <t>ДЕПОЗИТ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54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ввода в эксплуатацию 01.12.2022</t>
        </r>
      </text>
    </comment>
    <comment ref="J70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Ильина Аркадьевна: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<sst xmlns="http://schemas.openxmlformats.org/spreadsheetml/2006/main" count="848" uniqueCount="402">
  <si>
    <t>№ п/п</t>
  </si>
  <si>
    <t>Адрес МКД</t>
  </si>
  <si>
    <t>Лицо, ответственное за подготовку сведений</t>
  </si>
  <si>
    <t>Эл. адрес: remfond21@cap.ru</t>
  </si>
  <si>
    <t>г. Алатырь</t>
  </si>
  <si>
    <t>г. Канаш</t>
  </si>
  <si>
    <t>Комсомольский район, с. Комсомольское</t>
  </si>
  <si>
    <t xml:space="preserve"> г. Мариинский Посад</t>
  </si>
  <si>
    <t>г. Новочебоксарск</t>
  </si>
  <si>
    <t>Чебоксарский район, п. Кугеси</t>
  </si>
  <si>
    <t>Чебоксарский район, с. Ишлеи</t>
  </si>
  <si>
    <t>г. Чебоксары</t>
  </si>
  <si>
    <t>г. Шумерля</t>
  </si>
  <si>
    <t>ул. Стрелецкая, д.1</t>
  </si>
  <si>
    <t xml:space="preserve"> ул. Ильича, д. 9</t>
  </si>
  <si>
    <t>ул. Куйбышева, д. 17</t>
  </si>
  <si>
    <t xml:space="preserve"> мкр. К.Антонова, д.3</t>
  </si>
  <si>
    <t>мкр. К.Антонова, д.4</t>
  </si>
  <si>
    <t>мкр. К.Антонова, д.5</t>
  </si>
  <si>
    <t xml:space="preserve"> мкр. К.Антонова, д.8</t>
  </si>
  <si>
    <t>мкр. Антонова, д. 15</t>
  </si>
  <si>
    <t>ул. Курчатова, д.16</t>
  </si>
  <si>
    <t>ул. Курчатова, д. 7 Б</t>
  </si>
  <si>
    <t>ул. Новая, д.34</t>
  </si>
  <si>
    <t>ул. Строителей, д .1, корп.2</t>
  </si>
  <si>
    <t xml:space="preserve"> ул. Марпосадская, д.10</t>
  </si>
  <si>
    <t xml:space="preserve"> ул. Первомайская, д.6</t>
  </si>
  <si>
    <t xml:space="preserve"> ул. Первомайская, д.8</t>
  </si>
  <si>
    <t>ул. Спутник, д. 11</t>
  </si>
  <si>
    <t>б-р А.Миттова, д.24</t>
  </si>
  <si>
    <t>б-р А.Миттова, д.35</t>
  </si>
  <si>
    <t xml:space="preserve"> б-р Приволжский, д.1</t>
  </si>
  <si>
    <t xml:space="preserve"> б-р Приволжский, д.2</t>
  </si>
  <si>
    <t>б-р Приволжский, д.2 корп.1</t>
  </si>
  <si>
    <t xml:space="preserve"> б-р Приволжский, д.3</t>
  </si>
  <si>
    <t xml:space="preserve"> б-р Приволжский, д.4</t>
  </si>
  <si>
    <t xml:space="preserve"> б-р Приволжский, д.4 корп.1</t>
  </si>
  <si>
    <t>б-р Приволжский, д.6/10</t>
  </si>
  <si>
    <t>б-р Приволжский, д.7/8</t>
  </si>
  <si>
    <t>б-р Эгерский, д.41</t>
  </si>
  <si>
    <t xml:space="preserve"> пр-кт 9-й Пятилетки, д.3 корп.1</t>
  </si>
  <si>
    <t>пр-кт Ленина, д.21 корп.1</t>
  </si>
  <si>
    <t xml:space="preserve"> пр-кт Ленина, д.7 корп.1</t>
  </si>
  <si>
    <t xml:space="preserve"> пр-кт Максима Горького, д.10</t>
  </si>
  <si>
    <t xml:space="preserve"> пр-кт Максима Горького, д.10 корп.1</t>
  </si>
  <si>
    <t xml:space="preserve"> пр-кт Максима Горького, д.12</t>
  </si>
  <si>
    <t xml:space="preserve"> пр-кт Максима Горького, д.14</t>
  </si>
  <si>
    <t>пр-кт Максима Горького, д.16</t>
  </si>
  <si>
    <t xml:space="preserve"> пр-кт Максима Горького, д.6</t>
  </si>
  <si>
    <t>пр-кт Максима Горького, д.8</t>
  </si>
  <si>
    <t>пр-кт Мира, д.11</t>
  </si>
  <si>
    <t xml:space="preserve"> пр-кт Московский, д.21 корп.2</t>
  </si>
  <si>
    <t xml:space="preserve"> пр-кт Тракторостроителей, д.8</t>
  </si>
  <si>
    <t>пр-кт Тракторостроителей, д.36</t>
  </si>
  <si>
    <t xml:space="preserve"> проезд Соляное, д.6</t>
  </si>
  <si>
    <t>пер. Якимовский, д .12</t>
  </si>
  <si>
    <t xml:space="preserve"> ул. 139 Стрелковой Дивизии, д.6</t>
  </si>
  <si>
    <t xml:space="preserve"> ул. 50 лет Октября, д.23</t>
  </si>
  <si>
    <t xml:space="preserve"> ул. Афанасьева, д.17</t>
  </si>
  <si>
    <t xml:space="preserve"> ул. Афанасьева, д.7 корп.1</t>
  </si>
  <si>
    <t>ул. Базарная, д.5</t>
  </si>
  <si>
    <t xml:space="preserve"> ул. Байдула, д.7</t>
  </si>
  <si>
    <t>ул. Богдана Хмельницкого, д.109 корп.2</t>
  </si>
  <si>
    <t xml:space="preserve"> ул. Богдана Хмельницкого, д.109 корп.3</t>
  </si>
  <si>
    <t xml:space="preserve"> ул. Богдана Хмельницкого, д. 113, корп.1</t>
  </si>
  <si>
    <t xml:space="preserve"> ул. Богдана Хмельницкого, д.76</t>
  </si>
  <si>
    <t>ул. Болгарстроя, д.9/11</t>
  </si>
  <si>
    <t xml:space="preserve"> ул. Водопроводная, д.11</t>
  </si>
  <si>
    <t xml:space="preserve"> ул. Гражданская, д.131</t>
  </si>
  <si>
    <t>ул. Гражданская, д.131 корп.1</t>
  </si>
  <si>
    <t xml:space="preserve"> ул. Ильенко, д.12</t>
  </si>
  <si>
    <t xml:space="preserve"> ул. Ильенко, д.12 корп.1</t>
  </si>
  <si>
    <t xml:space="preserve"> ул. Ильенко, д.14/7</t>
  </si>
  <si>
    <t xml:space="preserve"> ул. Ильенко, д.5</t>
  </si>
  <si>
    <t xml:space="preserve"> ул. Ильенко, д.6</t>
  </si>
  <si>
    <t xml:space="preserve"> ул. Ильенко, д.7/5</t>
  </si>
  <si>
    <t>ул. И. Франко, д. 5</t>
  </si>
  <si>
    <t xml:space="preserve"> ул. Константина Иванова, д.88</t>
  </si>
  <si>
    <t xml:space="preserve"> ул. Константина Иванова, д.91</t>
  </si>
  <si>
    <t xml:space="preserve"> ул. Кукшумская, д.5 корп.1</t>
  </si>
  <si>
    <t xml:space="preserve"> ул. Л.Агакова, д.1</t>
  </si>
  <si>
    <t xml:space="preserve"> ул. Л.Агакова, д.3</t>
  </si>
  <si>
    <t xml:space="preserve"> ул. Л.Агакова, д.5</t>
  </si>
  <si>
    <t xml:space="preserve"> ул. Л.Агакова, д.7</t>
  </si>
  <si>
    <t xml:space="preserve"> ул. Лебедева, д.64 корп.1</t>
  </si>
  <si>
    <t xml:space="preserve"> ул. Ленинского Комсомола, д.56</t>
  </si>
  <si>
    <t xml:space="preserve"> ул. Нижегородская, д.4</t>
  </si>
  <si>
    <t xml:space="preserve"> ул. Николая Ильбекова, д.4 корп.1</t>
  </si>
  <si>
    <t xml:space="preserve"> ул. П.В.Дементьева, д.20 корп.1</t>
  </si>
  <si>
    <t>ул. Петра Ермолаева, д.1</t>
  </si>
  <si>
    <t xml:space="preserve"> ул. Петра Ермолаева, д.2</t>
  </si>
  <si>
    <t xml:space="preserve"> ул. Петра Ермолаева, д.3</t>
  </si>
  <si>
    <t xml:space="preserve"> ул. Петра Ермолаева, д.3 корп.1</t>
  </si>
  <si>
    <t xml:space="preserve"> ул. Петра Ермолаева, д.3 корп.2</t>
  </si>
  <si>
    <t xml:space="preserve"> ул. Петра Ермолаева, д.4</t>
  </si>
  <si>
    <t xml:space="preserve"> ул. Пролетарская, д.27</t>
  </si>
  <si>
    <t>ул. Пирогова, д.4</t>
  </si>
  <si>
    <t xml:space="preserve"> ул. Сельская, д.39 корп.1</t>
  </si>
  <si>
    <t xml:space="preserve"> ул. Сельская, д.39 корп.3</t>
  </si>
  <si>
    <t xml:space="preserve"> ул. Социалистическая, д.13</t>
  </si>
  <si>
    <t xml:space="preserve"> ул. Спортсмена Валериана Соколова, д.10/2</t>
  </si>
  <si>
    <t xml:space="preserve"> ул. Спортсмена Валериана Соколова, д.4</t>
  </si>
  <si>
    <t xml:space="preserve"> ул. Спортсмена Валериана Соколова, д.6</t>
  </si>
  <si>
    <t>ул. Спортсмена Валериана Соколова, д.6 корп.1</t>
  </si>
  <si>
    <t xml:space="preserve"> ул. Спортсмена Валериана Соколова, д.6 корп.2</t>
  </si>
  <si>
    <t xml:space="preserve"> ул. Спортсмена Валериана Соколова, д.8/1</t>
  </si>
  <si>
    <t>ул. Строителей, д .10</t>
  </si>
  <si>
    <t xml:space="preserve"> ул. Строителей, д.13</t>
  </si>
  <si>
    <t xml:space="preserve"> ул. Строителей, д.9</t>
  </si>
  <si>
    <t xml:space="preserve"> ул. Т.Кривова, д.7</t>
  </si>
  <si>
    <t xml:space="preserve"> ул. Тополиная, д.15</t>
  </si>
  <si>
    <t xml:space="preserve"> ул. Тополиная, д.17</t>
  </si>
  <si>
    <t xml:space="preserve"> ул. Фруктовая, д.10</t>
  </si>
  <si>
    <t xml:space="preserve"> ул. Фруктовая, д.8</t>
  </si>
  <si>
    <t xml:space="preserve"> ул. Чапаева, д.6</t>
  </si>
  <si>
    <t xml:space="preserve"> ул. Чернышевского, д.26</t>
  </si>
  <si>
    <t xml:space="preserve"> ул. Чернышевского, д.5</t>
  </si>
  <si>
    <t xml:space="preserve"> ул. Шевченко, д.27</t>
  </si>
  <si>
    <t>ул. Шумилова, д.30</t>
  </si>
  <si>
    <t xml:space="preserve"> ул. Энгельса, д.1 корп.2</t>
  </si>
  <si>
    <t xml:space="preserve"> ул. Энгельса, д.1 корп.3</t>
  </si>
  <si>
    <t>ул. Энгельса, д.3, корп. 1</t>
  </si>
  <si>
    <t>ул. Карла Маркса, д. 15</t>
  </si>
  <si>
    <t>АО РОССЕЛЬХОЗБАНК</t>
  </si>
  <si>
    <t xml:space="preserve"> 40604810711000000026 </t>
  </si>
  <si>
    <t>ПАО Сбербанк</t>
  </si>
  <si>
    <t>40604810875000000060</t>
  </si>
  <si>
    <t>40604810575000000056</t>
  </si>
  <si>
    <t>40604810875000000057</t>
  </si>
  <si>
    <t>40604810975000000216</t>
  </si>
  <si>
    <t>40604810275000000220</t>
  </si>
  <si>
    <t>40604810675000000215</t>
  </si>
  <si>
    <t>40604810275000000217</t>
  </si>
  <si>
    <t>40604810675000000231</t>
  </si>
  <si>
    <t>ПАО БАНК ВТБ</t>
  </si>
  <si>
    <t>40604810775000000241</t>
  </si>
  <si>
    <t>40604810075000000213</t>
  </si>
  <si>
    <t>40604810575000000276</t>
  </si>
  <si>
    <t>ПАО Банк ВТБ</t>
  </si>
  <si>
    <t xml:space="preserve"> 40604810911000000033</t>
  </si>
  <si>
    <t xml:space="preserve"> 40604810211000000034 </t>
  </si>
  <si>
    <t>40604810175000000252</t>
  </si>
  <si>
    <t>40604810275000000084</t>
  </si>
  <si>
    <t>40604810675000000066</t>
  </si>
  <si>
    <t xml:space="preserve"> 40604810011000000001 </t>
  </si>
  <si>
    <t>40604810275000000013</t>
  </si>
  <si>
    <t>40604810675000000008</t>
  </si>
  <si>
    <t xml:space="preserve"> 40604810911000000020</t>
  </si>
  <si>
    <t>40604810075000000080</t>
  </si>
  <si>
    <t>40604810675000000024</t>
  </si>
  <si>
    <t>40604810575000000085</t>
  </si>
  <si>
    <t>40604810575000000548</t>
  </si>
  <si>
    <t>40604810575000000072</t>
  </si>
  <si>
    <t>40604810075000000077</t>
  </si>
  <si>
    <t>40604810275000000068</t>
  </si>
  <si>
    <t>40604810975000000148</t>
  </si>
  <si>
    <t>40604810775000000050</t>
  </si>
  <si>
    <t>40604810375000000052</t>
  </si>
  <si>
    <t>40604810775000000018</t>
  </si>
  <si>
    <t>40604810475000000017</t>
  </si>
  <si>
    <t>40604810575000000043</t>
  </si>
  <si>
    <t>40604810475000000046</t>
  </si>
  <si>
    <t>40604810275000000026</t>
  </si>
  <si>
    <t>40604810375000000094</t>
  </si>
  <si>
    <t>40604810975000000119</t>
  </si>
  <si>
    <t>40604810375000000007</t>
  </si>
  <si>
    <t>40604810175000000003</t>
  </si>
  <si>
    <t>40604810575000000234</t>
  </si>
  <si>
    <t>40604810775000000157</t>
  </si>
  <si>
    <t>40604810875000000109</t>
  </si>
  <si>
    <t>40604810675000000040</t>
  </si>
  <si>
    <t>40604810675000000163</t>
  </si>
  <si>
    <t>40604810075000000093</t>
  </si>
  <si>
    <t xml:space="preserve"> 40604810111000000011 </t>
  </si>
  <si>
    <t>40604810575000000027</t>
  </si>
  <si>
    <t>40604810775000000267</t>
  </si>
  <si>
    <t>40604810875000000183</t>
  </si>
  <si>
    <t>40604810275000000055</t>
  </si>
  <si>
    <t>40604810775000000034</t>
  </si>
  <si>
    <t>40604810075000000035</t>
  </si>
  <si>
    <t>40604810875000000073</t>
  </si>
  <si>
    <t>40604810075000000051</t>
  </si>
  <si>
    <t>40604810475000000075</t>
  </si>
  <si>
    <t>40604810375000000010</t>
  </si>
  <si>
    <t>40604810175000000016</t>
  </si>
  <si>
    <t>40604810075000000022</t>
  </si>
  <si>
    <t>40604810375000000023</t>
  </si>
  <si>
    <t>40604810111000000037</t>
  </si>
  <si>
    <t>40604810975000000135</t>
  </si>
  <si>
    <t>40604810075000000190</t>
  </si>
  <si>
    <t>40604810275000000165</t>
  </si>
  <si>
    <t>40604810075000000103</t>
  </si>
  <si>
    <t>40604810475000000020</t>
  </si>
  <si>
    <t>40604810975000000012</t>
  </si>
  <si>
    <t>40604810975000000009</t>
  </si>
  <si>
    <t>40604810875000000044</t>
  </si>
  <si>
    <t>40604810775000000076</t>
  </si>
  <si>
    <t>40604810775000000021</t>
  </si>
  <si>
    <t>40604810975000000041</t>
  </si>
  <si>
    <t>40604810675000000053</t>
  </si>
  <si>
    <t>40604810175000000029</t>
  </si>
  <si>
    <t>40604810675000000134</t>
  </si>
  <si>
    <t>40604810175000000045</t>
  </si>
  <si>
    <t>40604810575000000014</t>
  </si>
  <si>
    <t>40604810675000000082</t>
  </si>
  <si>
    <t>40604810875000000031</t>
  </si>
  <si>
    <t>40604810875000000015</t>
  </si>
  <si>
    <t>40604810675000000011</t>
  </si>
  <si>
    <t>40604810875000000235</t>
  </si>
  <si>
    <t>40604810575000000179</t>
  </si>
  <si>
    <t>40604810375000000162</t>
  </si>
  <si>
    <t>40604810175000000074</t>
  </si>
  <si>
    <t>40604810175000000087</t>
  </si>
  <si>
    <t>40604810375000000065</t>
  </si>
  <si>
    <t>40604810075000000064</t>
  </si>
  <si>
    <t>40604810775000000063</t>
  </si>
  <si>
    <t>40604810575000000001</t>
  </si>
  <si>
    <t>40604810775000000144</t>
  </si>
  <si>
    <t>40604810675000000202</t>
  </si>
  <si>
    <t>40604810975000000203</t>
  </si>
  <si>
    <t>40604810675000000037</t>
  </si>
  <si>
    <t>40604810575000000108</t>
  </si>
  <si>
    <t>40604810075000000226</t>
  </si>
  <si>
    <t xml:space="preserve"> 40604810611000000003 </t>
  </si>
  <si>
    <t>40604810811000000036</t>
  </si>
  <si>
    <t>Моргаушский район, с. Большой Сундырь</t>
  </si>
  <si>
    <t>ул. Советская, д. 13</t>
  </si>
  <si>
    <t xml:space="preserve"> ул. Т.Кривова, д.16</t>
  </si>
  <si>
    <t>40604810475000000279</t>
  </si>
  <si>
    <t>40604810411000000038</t>
  </si>
  <si>
    <t>40604810475000000282</t>
  </si>
  <si>
    <t>б-р. О. Волкова, д. 5</t>
  </si>
  <si>
    <t xml:space="preserve"> пр-кт Тракторостроителей, д. 24</t>
  </si>
  <si>
    <t>40604810675000000286</t>
  </si>
  <si>
    <t>40604810975000000287</t>
  </si>
  <si>
    <t>Наименование кредитной организации, в которой открыт специальный счет</t>
  </si>
  <si>
    <t xml:space="preserve"> ул. Ленинского Комсомола, д. 6 Б</t>
  </si>
  <si>
    <t xml:space="preserve"> ул. П.В.Дементьева, д. 15 корп.1</t>
  </si>
  <si>
    <t>ул. Пирогова, д. 2</t>
  </si>
  <si>
    <t>40604810975000000290</t>
  </si>
  <si>
    <t>40604810575000000289</t>
  </si>
  <si>
    <t>40604810275000000288</t>
  </si>
  <si>
    <t>пр. Московский, д. 19, корп. 7</t>
  </si>
  <si>
    <t>40604810275000000291</t>
  </si>
  <si>
    <t>ул. Мичмана Павлова, д. 38</t>
  </si>
  <si>
    <t>40604810575000000292</t>
  </si>
  <si>
    <t>пер. Комбинатский, д. 4</t>
  </si>
  <si>
    <t>40604810875000000293</t>
  </si>
  <si>
    <t>ул. Петра Ермолаева, д. 5</t>
  </si>
  <si>
    <t>40604810475000000295</t>
  </si>
  <si>
    <t>ул. Ак. А.Н. Крылова, д. 13</t>
  </si>
  <si>
    <t>40604810775000000296</t>
  </si>
  <si>
    <t>ул. Гагарина, д.15</t>
  </si>
  <si>
    <t>40604810075000000297</t>
  </si>
  <si>
    <t xml:space="preserve">                                                                 _______________________________________             Долгов В.В.</t>
  </si>
  <si>
    <t>Дата открытия специального счета</t>
  </si>
  <si>
    <t>ВСЕГО</t>
  </si>
  <si>
    <t>№ специального счета</t>
  </si>
  <si>
    <t>40604810475000000033</t>
  </si>
  <si>
    <t>Чебоксарский район, д. Большие Карачуры</t>
  </si>
  <si>
    <t>ул. ДРСУ, д. 3</t>
  </si>
  <si>
    <t>Чебоксарский р-н д. Большие Карачуры</t>
  </si>
  <si>
    <t>ул. ДРСУ, д 5</t>
  </si>
  <si>
    <t>40604810611000000045</t>
  </si>
  <si>
    <t>40604810311000000044</t>
  </si>
  <si>
    <t>ул. ДРСУ, д.4</t>
  </si>
  <si>
    <t>ООО "Инсоц"</t>
  </si>
  <si>
    <t>ООО "Жилкомцентр"</t>
  </si>
  <si>
    <t>МУП "ЖКХ "Ишлейское"</t>
  </si>
  <si>
    <t>ООО "УК "Старко"</t>
  </si>
  <si>
    <t>ООО "УК "Город"</t>
  </si>
  <si>
    <t>ООО "Лада"</t>
  </si>
  <si>
    <t>ООО "Жилкомсервис-1"</t>
  </si>
  <si>
    <t>ООО "ЖЭУ ЧЗСМ"</t>
  </si>
  <si>
    <t>ООО "Эдо"</t>
  </si>
  <si>
    <t>ООО "УК Жилстандарт"</t>
  </si>
  <si>
    <t>ООО "Маштехсервис"</t>
  </si>
  <si>
    <t>ООО "Текстильщик"</t>
  </si>
  <si>
    <t>ООО "УК"Старко"</t>
  </si>
  <si>
    <t>ООО "УК "Илем"</t>
  </si>
  <si>
    <t>ЖСК "Вузовец"</t>
  </si>
  <si>
    <t>ООО "Кван"</t>
  </si>
  <si>
    <t>ООО УК ЧНЦП "Интех"</t>
  </si>
  <si>
    <t>ООО "НИДИ"</t>
  </si>
  <si>
    <t>ТСЖ "Сирень"</t>
  </si>
  <si>
    <t>ООО "Наш дом"</t>
  </si>
  <si>
    <t>ООО "Монолитсервис"</t>
  </si>
  <si>
    <t>ООО "УК "Благо"</t>
  </si>
  <si>
    <t>ООО "Горизонт"</t>
  </si>
  <si>
    <t>40604810775000000005</t>
  </si>
  <si>
    <t>тел. 23-69-06 доб. 21</t>
  </si>
  <si>
    <t>40604810575000000098</t>
  </si>
  <si>
    <t>ул. Богдана Хмельницкого, д. 127, корп.1</t>
  </si>
  <si>
    <t>40604810675000000079</t>
  </si>
  <si>
    <t xml:space="preserve"> ул. 50 лет Октября, д.24</t>
  </si>
  <si>
    <t>40604810975000000038</t>
  </si>
  <si>
    <t>ул. Асламаса, д. 14</t>
  </si>
  <si>
    <t>ул. Болгарстроя, д.7</t>
  </si>
  <si>
    <t>40604810775000000089</t>
  </si>
  <si>
    <t>Начальник ФЭО-главный бухгалтер</t>
  </si>
  <si>
    <t>40604810911000000046</t>
  </si>
  <si>
    <t>ул. Коллективная, д. 8</t>
  </si>
  <si>
    <t>ПАО "ОТКРЫТИЕ"</t>
  </si>
  <si>
    <t>40604810000360000001</t>
  </si>
  <si>
    <t>40604810209240044556</t>
  </si>
  <si>
    <t>40604810709240094556</t>
  </si>
  <si>
    <t>40604810509240184556</t>
  </si>
  <si>
    <t xml:space="preserve"> 40604810509240004500 </t>
  </si>
  <si>
    <t xml:space="preserve"> 40604810609240004507 </t>
  </si>
  <si>
    <t xml:space="preserve"> 40604810109240004515 </t>
  </si>
  <si>
    <t xml:space="preserve"> 40604810909240004524</t>
  </si>
  <si>
    <t xml:space="preserve"> 40604810409240004516 </t>
  </si>
  <si>
    <t>40604810309240014813</t>
  </si>
  <si>
    <t>40604810209240004813</t>
  </si>
  <si>
    <t xml:space="preserve"> 40604810209240004512 </t>
  </si>
  <si>
    <t xml:space="preserve"> 40604810909240004537 </t>
  </si>
  <si>
    <t xml:space="preserve"> 40604810209240004541 </t>
  </si>
  <si>
    <t xml:space="preserve"> 40604810309240004506 </t>
  </si>
  <si>
    <t xml:space="preserve"> 40604810609240004510 </t>
  </si>
  <si>
    <t xml:space="preserve"> 40604810709240104556 </t>
  </si>
  <si>
    <t xml:space="preserve"> 40604810909240004511  </t>
  </si>
  <si>
    <t xml:space="preserve"> 40604810009240004521  </t>
  </si>
  <si>
    <t>пр-кт Мира, д.10</t>
  </si>
  <si>
    <t>40604810075000000132</t>
  </si>
  <si>
    <t>ул. Асламаса, д. 2</t>
  </si>
  <si>
    <t>40604810775000000173</t>
  </si>
  <si>
    <t xml:space="preserve"> ул. Петра Ермолаева, д.4 корп. 1</t>
  </si>
  <si>
    <t>40604810475000000143</t>
  </si>
  <si>
    <t>Зотова Е. И.</t>
  </si>
  <si>
    <t>ул. Асламаса, д. 24</t>
  </si>
  <si>
    <t>40604810875000000002</t>
  </si>
  <si>
    <t>ул. Асламаса, д. 10</t>
  </si>
  <si>
    <t>40604810275000000039</t>
  </si>
  <si>
    <t>ул. Асламаса, д. 16</t>
  </si>
  <si>
    <t>40604810975000000025</t>
  </si>
  <si>
    <t>ул. Совхозная, д. 16</t>
  </si>
  <si>
    <t>40604810875000000028</t>
  </si>
  <si>
    <t>40604810475000000004</t>
  </si>
  <si>
    <t>ул. Совхозная, д. 23</t>
  </si>
  <si>
    <t xml:space="preserve"> ул. Фруктовая, д.12</t>
  </si>
  <si>
    <t>ООО "Волна"</t>
  </si>
  <si>
    <t>40604810275000000042</t>
  </si>
  <si>
    <t xml:space="preserve"> пр-кт Максима Горького, д.5, корп.2</t>
  </si>
  <si>
    <t>40604810075000000048</t>
  </si>
  <si>
    <t>пр-кт Тракторостроителей, д. 72</t>
  </si>
  <si>
    <t>ул. Гражданская, д.119</t>
  </si>
  <si>
    <t>40604810975000000054</t>
  </si>
  <si>
    <t>ул. Асламаса, д. 32</t>
  </si>
  <si>
    <t>40604810375000000078</t>
  </si>
  <si>
    <t>ул. Восточная, д. 21а</t>
  </si>
  <si>
    <t>40604810975000000067</t>
  </si>
  <si>
    <t>ул, Мате Залка, д. 14, корп. 3</t>
  </si>
  <si>
    <t>40604810275000000071</t>
  </si>
  <si>
    <t>40604810075000000049</t>
  </si>
  <si>
    <t>ооо Управдом</t>
  </si>
  <si>
    <t>ук волна</t>
  </si>
  <si>
    <t>ул. Сапожникова, д. 5</t>
  </si>
  <si>
    <t>УК Ипотечная корпорация</t>
  </si>
  <si>
    <t>ул. П. В. Дементьева , д. 24</t>
  </si>
  <si>
    <t>ул. Гайдара, д. 5</t>
  </si>
  <si>
    <t>40604810075000000006</t>
  </si>
  <si>
    <t>ук город</t>
  </si>
  <si>
    <t>ул. Асламаса, д. 6</t>
  </si>
  <si>
    <t>ул. Асламаса, д. 8</t>
  </si>
  <si>
    <t>ул. Асламаса, д. 12</t>
  </si>
  <si>
    <t>ул. Асламаса, д. 26</t>
  </si>
  <si>
    <t>ул. Асламаса, д. 30</t>
  </si>
  <si>
    <t>40604810775000000047</t>
  </si>
  <si>
    <t>40604810175000000058</t>
  </si>
  <si>
    <t>40604810175000000032</t>
  </si>
  <si>
    <t>ул. Асламаса, д. 28</t>
  </si>
  <si>
    <t>40604810575000000030</t>
  </si>
  <si>
    <t>ул. Комп. А. М. Токарева, д. 18</t>
  </si>
  <si>
    <t>40604810475000000059</t>
  </si>
  <si>
    <t xml:space="preserve"> ул. Социалистическая, д.7 корп. 1</t>
  </si>
  <si>
    <t>40604810375000000036</t>
  </si>
  <si>
    <t xml:space="preserve"> ул. Гражданская, д.29</t>
  </si>
  <si>
    <t>40604810075000000019</t>
  </si>
  <si>
    <t>ул. Ярмарочная, д. 11</t>
  </si>
  <si>
    <t xml:space="preserve"> ул. Чернышевского, д.34</t>
  </si>
  <si>
    <t>40604810175000000061</t>
  </si>
  <si>
    <t>40604810975000000070</t>
  </si>
  <si>
    <t>40604810475000000062</t>
  </si>
  <si>
    <t>ул. Правая Набережная Сугутки, д. 1</t>
  </si>
  <si>
    <t>ул. Правая Набережная Сугутки, д. 7</t>
  </si>
  <si>
    <t>УК Свой двор</t>
  </si>
  <si>
    <t>ул. Щербакова, д.57 корп 2</t>
  </si>
  <si>
    <t>ул.Гладкова д.32</t>
  </si>
  <si>
    <t>406048103750000000081</t>
  </si>
  <si>
    <t xml:space="preserve"> ул. 50 лет Октября, д.26/24</t>
  </si>
  <si>
    <t xml:space="preserve"> ул. Социалистическая, д.7 А</t>
  </si>
  <si>
    <t>ул. Димитрова д.18</t>
  </si>
  <si>
    <t>,</t>
  </si>
  <si>
    <t>ул. Цивильская, д.9</t>
  </si>
  <si>
    <t>ул. Энгельса, д. 1 корп. 1</t>
  </si>
  <si>
    <t>40604810975000000300</t>
  </si>
  <si>
    <t>40604810675000000299</t>
  </si>
  <si>
    <t>И.о. генерального директора</t>
  </si>
  <si>
    <t>Новосельский С. Н.</t>
  </si>
  <si>
    <t>МО</t>
  </si>
  <si>
    <t xml:space="preserve">Дата возникновения обязательств по уплате взносов </t>
  </si>
  <si>
    <t>Размер остатка средств фонда капитального ремонта на 30.04.2024 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</si>
</sst>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5" formatCode="#,##0.00&quot; &quot;[$руб.-419];[Red]&quot;-&quot;#,##0.00&quot; &quot;[$руб.-419]"/>
    <numFmt numFmtId="166" formatCode="#,##0.00\ [$руб.-419];[Red]\-#,##0.00\ [$руб.-419]"/>
    <numFmt numFmtId="167" formatCode="_-* #,##0.00\ _₽_-;\-* #,##0.00\ _₽_-;_-* \-??\ _₽_-;_-@_-"/>
    <numFmt numFmtId="168" formatCode="_-* #,##0.00,_₽_-;\-* #,##0.00,_₽_-;_-* \-??\ _₽_-;_-@_-"/>
    <numFmt numFmtId="169" formatCode="[$-419]General"/>
    <numFmt numFmtId="170" formatCode="&quot; &quot;#,##0.00,&quot;   &quot;;&quot;-&quot;#,##0.00,&quot;   &quot;;&quot; -&quot;#&quot;    &quot;;@&quot; &quot;"/>
    <numFmt numFmtId="171" formatCode="&quot; &quot;#,##0.00&quot;    &quot;;&quot;-&quot;#,##0.00&quot;    &quot;;&quot; -&quot;#&quot;    &quot;;@&quot; &quot;"/>
    <numFmt numFmtId="172" formatCode="#,##0.00_ ;[Red]\-#,##0.00\ "/>
  </numFmts>
  <fonts count="103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i/>
      <sz val="16"/>
      <color rgb="FF000000"/>
      <name val="Calibri"/>
      <family val="2"/>
      <charset val="204"/>
    </font>
    <font>
      <b/>
      <i/>
      <u/>
      <sz val="11"/>
      <color rgb="FF000000"/>
      <name val="Calibri"/>
      <family val="2"/>
      <charset val="204"/>
    </font>
    <font>
      <u/>
      <sz val="11"/>
      <color rgb="FF0563C1"/>
      <name val="Calibri"/>
      <family val="2"/>
      <charset val="204"/>
    </font>
    <font>
      <u/>
      <sz val="11"/>
      <color indexed="30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b/>
      <i/>
      <sz val="16"/>
      <color indexed="8"/>
      <name val="Calibri"/>
      <family val="2"/>
      <charset val="204"/>
    </font>
    <font>
      <b/>
      <i/>
      <u/>
      <sz val="11"/>
      <color indexed="8"/>
      <name val="Calibri"/>
      <family val="2"/>
      <charset val="204"/>
    </font>
    <font>
      <u/>
      <sz val="11"/>
      <color indexed="2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6"/>
      <color indexed="8"/>
      <name val="Calibri"/>
      <family val="2"/>
      <charset val="204"/>
      <scheme val="minor"/>
    </font>
    <font>
      <i/>
      <sz val="16"/>
      <name val="Calibri"/>
      <family val="2"/>
      <charset val="204"/>
      <scheme val="minor"/>
    </font>
    <font>
      <i/>
      <sz val="16"/>
      <color indexed="8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FFFFFF"/>
      <name val="Calibri"/>
      <family val="2"/>
      <charset val="204"/>
    </font>
    <font>
      <sz val="11"/>
      <color rgb="FF9C0006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1"/>
      <color rgb="FFFFFFFF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006100"/>
      <name val="Calibri"/>
      <family val="2"/>
      <charset val="204"/>
    </font>
    <font>
      <b/>
      <sz val="15"/>
      <color rgb="FF44546A"/>
      <name val="Calibri"/>
      <family val="2"/>
      <charset val="204"/>
    </font>
    <font>
      <b/>
      <sz val="13"/>
      <color rgb="FF44546A"/>
      <name val="Calibri"/>
      <family val="2"/>
      <charset val="204"/>
    </font>
    <font>
      <b/>
      <sz val="11"/>
      <color rgb="FF44546A"/>
      <name val="Calibri"/>
      <family val="2"/>
      <charset val="204"/>
    </font>
    <font>
      <sz val="11"/>
      <color rgb="FF3F3F76"/>
      <name val="Calibri"/>
      <family val="2"/>
      <charset val="204"/>
    </font>
    <font>
      <sz val="11"/>
      <color rgb="FFFA7D00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8"/>
      <color rgb="FF44546A"/>
      <name val="Calibri Light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1"/>
      <color rgb="FF008080"/>
      <name val="Calibri"/>
      <family val="2"/>
      <charset val="204"/>
    </font>
    <font>
      <u/>
      <sz val="11"/>
      <color rgb="FF0066CC"/>
      <name val="Calibri"/>
      <family val="2"/>
      <charset val="204"/>
    </font>
    <font>
      <sz val="11"/>
      <color rgb="FF9C6500"/>
      <name val="Calibri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4"/>
      <color theme="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9"/>
      <name val="Calibri"/>
      <family val="2"/>
      <charset val="204"/>
    </font>
    <font>
      <u/>
      <sz val="11"/>
      <color indexed="38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sz val="9"/>
      <color indexed="81"/>
      <name val="Tahoma"/>
      <family val="2"/>
      <charset val="204"/>
    </font>
    <font>
      <b/>
      <sz val="16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name val="Arial"/>
      <family val="2"/>
    </font>
    <font>
      <sz val="15"/>
      <color indexed="8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1"/>
      <name val="Times New Roman"/>
      <family val="1"/>
      <charset val="204"/>
    </font>
  </fonts>
  <fills count="8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FFFF"/>
        <bgColor indexed="64"/>
      </patternFill>
    </fill>
    <fill>
      <patternFill patternType="solid">
        <fgColor rgb="FFDAE3F3"/>
        <bgColor rgb="FFDAE3F3"/>
      </patternFill>
    </fill>
    <fill>
      <patternFill patternType="solid">
        <fgColor rgb="FFFBE5D6"/>
        <bgColor rgb="FFFBE5D6"/>
      </patternFill>
    </fill>
    <fill>
      <patternFill patternType="solid">
        <fgColor rgb="FFEDEDED"/>
        <bgColor rgb="FFEDEDED"/>
      </patternFill>
    </fill>
    <fill>
      <patternFill patternType="solid">
        <fgColor rgb="FFFFF2CC"/>
        <bgColor rgb="FFFFF2CC"/>
      </patternFill>
    </fill>
    <fill>
      <patternFill patternType="solid">
        <fgColor rgb="FFDEEBF7"/>
        <bgColor rgb="FFDEEBF7"/>
      </patternFill>
    </fill>
    <fill>
      <patternFill patternType="solid">
        <fgColor rgb="FFE2F0D9"/>
        <bgColor rgb="FFE2F0D9"/>
      </patternFill>
    </fill>
    <fill>
      <patternFill patternType="solid">
        <fgColor rgb="FFB4C7E7"/>
        <bgColor rgb="FFB4C7E7"/>
      </patternFill>
    </fill>
    <fill>
      <patternFill patternType="solid">
        <fgColor rgb="FFF8CBAD"/>
        <bgColor rgb="FFF8CBAD"/>
      </patternFill>
    </fill>
    <fill>
      <patternFill patternType="solid">
        <fgColor rgb="FFDBDBDB"/>
        <bgColor rgb="FFDBDBDB"/>
      </patternFill>
    </fill>
    <fill>
      <patternFill patternType="solid">
        <fgColor rgb="FFFFE699"/>
        <bgColor rgb="FFFFE699"/>
      </patternFill>
    </fill>
    <fill>
      <patternFill patternType="solid">
        <fgColor rgb="FFBDD7EE"/>
        <bgColor rgb="FFBDD7EE"/>
      </patternFill>
    </fill>
    <fill>
      <patternFill patternType="solid">
        <fgColor rgb="FFC5E0B4"/>
        <bgColor rgb="FFC5E0B4"/>
      </patternFill>
    </fill>
    <fill>
      <patternFill patternType="solid">
        <fgColor rgb="FF8FAADC"/>
        <bgColor rgb="FF8FAADC"/>
      </patternFill>
    </fill>
    <fill>
      <patternFill patternType="solid">
        <fgColor rgb="FFF4B183"/>
        <bgColor rgb="FFF4B183"/>
      </patternFill>
    </fill>
    <fill>
      <patternFill patternType="solid">
        <fgColor rgb="FFC9C9C9"/>
        <bgColor rgb="FFC9C9C9"/>
      </patternFill>
    </fill>
    <fill>
      <patternFill patternType="solid">
        <fgColor rgb="FFFFD966"/>
        <bgColor rgb="FFFFD966"/>
      </patternFill>
    </fill>
    <fill>
      <patternFill patternType="solid">
        <fgColor rgb="FF9DC3E6"/>
        <bgColor rgb="FF9DC3E6"/>
      </patternFill>
    </fill>
    <fill>
      <patternFill patternType="solid">
        <fgColor rgb="FFA9D18E"/>
        <bgColor rgb="FFA9D18E"/>
      </patternFill>
    </fill>
    <fill>
      <patternFill patternType="solid">
        <fgColor rgb="FF4472C4"/>
        <bgColor rgb="FF4472C4"/>
      </patternFill>
    </fill>
    <fill>
      <patternFill patternType="solid">
        <fgColor rgb="FFED7D31"/>
        <bgColor rgb="FFED7D31"/>
      </patternFill>
    </fill>
    <fill>
      <patternFill patternType="solid">
        <fgColor rgb="FFA5A5A5"/>
        <bgColor rgb="FFA5A5A5"/>
      </patternFill>
    </fill>
    <fill>
      <patternFill patternType="solid">
        <fgColor rgb="FFFFC000"/>
        <bgColor rgb="FFFFC000"/>
      </patternFill>
    </fill>
    <fill>
      <patternFill patternType="solid">
        <fgColor rgb="FF5B9BD5"/>
        <bgColor rgb="FF5B9BD5"/>
      </patternFill>
    </fill>
    <fill>
      <patternFill patternType="solid">
        <fgColor rgb="FF70AD47"/>
        <bgColor rgb="FF70AD47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indexed="41"/>
        <bgColor indexed="27"/>
      </patternFill>
    </fill>
    <fill>
      <patternFill patternType="solid">
        <fgColor indexed="52"/>
        <bgColor indexed="53"/>
      </patternFill>
    </fill>
    <fill>
      <patternFill patternType="solid">
        <fgColor indexed="23"/>
        <bgColor indexed="27"/>
      </patternFill>
    </fill>
    <fill>
      <patternFill patternType="solid">
        <fgColor indexed="5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3"/>
      </patternFill>
    </fill>
    <fill>
      <patternFill patternType="solid">
        <fgColor indexed="46"/>
        <bgColor indexed="44"/>
      </patternFill>
    </fill>
    <fill>
      <patternFill patternType="solid">
        <fgColor indexed="47"/>
        <bgColor indexed="34"/>
      </patternFill>
    </fill>
    <fill>
      <patternFill patternType="solid">
        <fgColor indexed="29"/>
        <bgColor indexed="41"/>
      </patternFill>
    </fill>
    <fill>
      <patternFill patternType="solid">
        <fgColor indexed="34"/>
        <bgColor indexed="43"/>
      </patternFill>
    </fill>
    <fill>
      <patternFill patternType="solid">
        <fgColor indexed="31"/>
        <bgColor indexed="46"/>
      </patternFill>
    </fill>
    <fill>
      <patternFill patternType="solid">
        <fgColor indexed="49"/>
        <bgColor indexed="29"/>
      </patternFill>
    </fill>
    <fill>
      <patternFill patternType="solid">
        <fgColor indexed="24"/>
        <bgColor indexed="44"/>
      </patternFill>
    </fill>
    <fill>
      <patternFill patternType="solid">
        <fgColor indexed="45"/>
        <bgColor indexed="47"/>
      </patternFill>
    </fill>
    <fill>
      <patternFill patternType="solid">
        <fgColor indexed="22"/>
        <bgColor indexed="46"/>
      </patternFill>
    </fill>
    <fill>
      <patternFill patternType="solid">
        <fgColor indexed="51"/>
        <bgColor indexed="34"/>
      </patternFill>
    </fill>
    <fill>
      <patternFill patternType="solid">
        <fgColor indexed="44"/>
        <bgColor indexed="46"/>
      </patternFill>
    </fill>
    <fill>
      <patternFill patternType="solid">
        <fgColor indexed="50"/>
        <bgColor indexed="49"/>
      </patternFill>
    </fill>
    <fill>
      <patternFill patternType="solid">
        <fgColor indexed="43"/>
        <bgColor indexed="34"/>
      </patternFill>
    </fill>
    <fill>
      <patternFill patternType="solid">
        <fgColor indexed="26"/>
        <bgColor indexed="53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4472C4"/>
      </bottom>
      <diagonal/>
    </border>
    <border>
      <left/>
      <right/>
      <top/>
      <bottom style="thin">
        <color rgb="FFA1B8E1"/>
      </bottom>
      <diagonal/>
    </border>
    <border>
      <left/>
      <right/>
      <top/>
      <bottom style="thin">
        <color rgb="FF8FAADC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344">
    <xf numFmtId="0" fontId="0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11" fillId="0" borderId="0"/>
    <xf numFmtId="0" fontId="20" fillId="0" borderId="0"/>
    <xf numFmtId="0" fontId="21" fillId="0" borderId="0"/>
    <xf numFmtId="0" fontId="10" fillId="0" borderId="0"/>
    <xf numFmtId="0" fontId="19" fillId="0" borderId="0"/>
    <xf numFmtId="0" fontId="9" fillId="0" borderId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6" borderId="4" applyNumberFormat="0" applyAlignment="0" applyProtection="0"/>
    <xf numFmtId="0" fontId="29" fillId="7" borderId="5" applyNumberFormat="0" applyAlignment="0" applyProtection="0"/>
    <xf numFmtId="0" fontId="30" fillId="7" borderId="4" applyNumberFormat="0" applyAlignment="0" applyProtection="0"/>
    <xf numFmtId="0" fontId="31" fillId="0" borderId="6" applyNumberFormat="0" applyFill="0" applyAlignment="0" applyProtection="0"/>
    <xf numFmtId="0" fontId="32" fillId="8" borderId="7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36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36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36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36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36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37" fillId="0" borderId="0"/>
    <xf numFmtId="0" fontId="8" fillId="0" borderId="0"/>
    <xf numFmtId="43" fontId="8" fillId="0" borderId="0" applyFont="0" applyFill="0" applyBorder="0" applyAlignment="0" applyProtection="0"/>
    <xf numFmtId="0" fontId="16" fillId="0" borderId="0"/>
    <xf numFmtId="0" fontId="38" fillId="0" borderId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/>
    <xf numFmtId="165" fontId="40" fillId="0" borderId="0"/>
    <xf numFmtId="0" fontId="41" fillId="0" borderId="0" applyBorder="0" applyProtection="0"/>
    <xf numFmtId="43" fontId="16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2" fillId="0" borderId="0"/>
    <xf numFmtId="0" fontId="20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9" fillId="0" borderId="0"/>
    <xf numFmtId="0" fontId="43" fillId="5" borderId="0" applyNumberFormat="0" applyBorder="0" applyAlignment="0" applyProtection="0"/>
    <xf numFmtId="43" fontId="21" fillId="0" borderId="0" applyFont="0" applyFill="0" applyBorder="0" applyAlignment="0" applyProtection="0"/>
    <xf numFmtId="0" fontId="8" fillId="9" borderId="8" applyNumberFormat="0" applyFont="0" applyAlignment="0" applyProtection="0"/>
    <xf numFmtId="0" fontId="8" fillId="0" borderId="0"/>
    <xf numFmtId="43" fontId="8" fillId="0" borderId="0" applyFont="0" applyFill="0" applyBorder="0" applyAlignment="0" applyProtection="0"/>
    <xf numFmtId="0" fontId="36" fillId="13" borderId="0" applyNumberFormat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36" fillId="17" borderId="0" applyNumberFormat="0" applyBorder="0" applyAlignment="0" applyProtection="0"/>
    <xf numFmtId="0" fontId="8" fillId="0" borderId="0"/>
    <xf numFmtId="0" fontId="36" fillId="21" borderId="0" applyNumberFormat="0" applyBorder="0" applyAlignment="0" applyProtection="0"/>
    <xf numFmtId="0" fontId="8" fillId="0" borderId="0"/>
    <xf numFmtId="0" fontId="36" fillId="25" borderId="0" applyNumberFormat="0" applyBorder="0" applyAlignment="0" applyProtection="0"/>
    <xf numFmtId="0" fontId="36" fillId="29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36" fillId="33" borderId="0" applyNumberFormat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8" fillId="16" borderId="0" applyNumberFormat="0" applyBorder="0" applyAlignment="0" applyProtection="0"/>
    <xf numFmtId="43" fontId="16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8" fillId="20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8" fillId="9" borderId="8" applyNumberFormat="0" applyFont="0" applyAlignment="0" applyProtection="0"/>
    <xf numFmtId="43" fontId="21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21" fillId="0" borderId="0"/>
    <xf numFmtId="0" fontId="46" fillId="0" borderId="0">
      <alignment horizontal="center"/>
    </xf>
    <xf numFmtId="0" fontId="46" fillId="0" borderId="0">
      <alignment horizontal="center" textRotation="90"/>
    </xf>
    <xf numFmtId="0" fontId="18" fillId="0" borderId="0"/>
    <xf numFmtId="0" fontId="47" fillId="0" borderId="0"/>
    <xf numFmtId="166" fontId="47" fillId="0" borderId="0"/>
    <xf numFmtId="0" fontId="48" fillId="0" borderId="0"/>
    <xf numFmtId="0" fontId="48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7" fillId="0" borderId="0" applyBorder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8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8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8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8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8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8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8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8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" fillId="0" borderId="0"/>
    <xf numFmtId="0" fontId="57" fillId="0" borderId="0"/>
    <xf numFmtId="0" fontId="15" fillId="35" borderId="0"/>
    <xf numFmtId="0" fontId="15" fillId="35" borderId="0"/>
    <xf numFmtId="0" fontId="15" fillId="35" borderId="0"/>
    <xf numFmtId="0" fontId="15" fillId="35" borderId="0"/>
    <xf numFmtId="0" fontId="15" fillId="35" borderId="0"/>
    <xf numFmtId="0" fontId="15" fillId="36" borderId="0"/>
    <xf numFmtId="0" fontId="15" fillId="36" borderId="0"/>
    <xf numFmtId="0" fontId="15" fillId="36" borderId="0"/>
    <xf numFmtId="0" fontId="15" fillId="36" borderId="0"/>
    <xf numFmtId="0" fontId="15" fillId="36" borderId="0"/>
    <xf numFmtId="0" fontId="15" fillId="37" borderId="0"/>
    <xf numFmtId="0" fontId="15" fillId="37" borderId="0"/>
    <xf numFmtId="0" fontId="15" fillId="37" borderId="0"/>
    <xf numFmtId="0" fontId="15" fillId="37" borderId="0"/>
    <xf numFmtId="0" fontId="15" fillId="37" borderId="0"/>
    <xf numFmtId="0" fontId="15" fillId="38" borderId="0"/>
    <xf numFmtId="0" fontId="15" fillId="38" borderId="0"/>
    <xf numFmtId="0" fontId="15" fillId="38" borderId="0"/>
    <xf numFmtId="0" fontId="15" fillId="38" borderId="0"/>
    <xf numFmtId="0" fontId="15" fillId="38" borderId="0"/>
    <xf numFmtId="0" fontId="15" fillId="39" borderId="0"/>
    <xf numFmtId="0" fontId="15" fillId="39" borderId="0"/>
    <xf numFmtId="0" fontId="15" fillId="39" borderId="0"/>
    <xf numFmtId="0" fontId="15" fillId="39" borderId="0"/>
    <xf numFmtId="0" fontId="15" fillId="39" borderId="0"/>
    <xf numFmtId="0" fontId="15" fillId="40" borderId="0"/>
    <xf numFmtId="0" fontId="15" fillId="40" borderId="0"/>
    <xf numFmtId="0" fontId="15" fillId="40" borderId="0"/>
    <xf numFmtId="0" fontId="15" fillId="40" borderId="0"/>
    <xf numFmtId="0" fontId="15" fillId="40" borderId="0"/>
    <xf numFmtId="0" fontId="15" fillId="41" borderId="0"/>
    <xf numFmtId="0" fontId="15" fillId="41" borderId="0"/>
    <xf numFmtId="0" fontId="15" fillId="41" borderId="0"/>
    <xf numFmtId="0" fontId="15" fillId="41" borderId="0"/>
    <xf numFmtId="0" fontId="15" fillId="41" borderId="0"/>
    <xf numFmtId="0" fontId="15" fillId="42" borderId="0"/>
    <xf numFmtId="0" fontId="15" fillId="42" borderId="0"/>
    <xf numFmtId="0" fontId="15" fillId="42" borderId="0"/>
    <xf numFmtId="0" fontId="15" fillId="42" borderId="0"/>
    <xf numFmtId="0" fontId="15" fillId="42" borderId="0"/>
    <xf numFmtId="0" fontId="15" fillId="43" borderId="0"/>
    <xf numFmtId="0" fontId="15" fillId="43" borderId="0"/>
    <xf numFmtId="0" fontId="15" fillId="43" borderId="0"/>
    <xf numFmtId="0" fontId="15" fillId="43" borderId="0"/>
    <xf numFmtId="0" fontId="15" fillId="43" borderId="0"/>
    <xf numFmtId="0" fontId="15" fillId="44" borderId="0"/>
    <xf numFmtId="0" fontId="15" fillId="44" borderId="0"/>
    <xf numFmtId="0" fontId="15" fillId="44" borderId="0"/>
    <xf numFmtId="0" fontId="15" fillId="44" borderId="0"/>
    <xf numFmtId="0" fontId="15" fillId="44" borderId="0"/>
    <xf numFmtId="0" fontId="15" fillId="45" borderId="0"/>
    <xf numFmtId="0" fontId="15" fillId="45" borderId="0"/>
    <xf numFmtId="0" fontId="15" fillId="45" borderId="0"/>
    <xf numFmtId="0" fontId="15" fillId="45" borderId="0"/>
    <xf numFmtId="0" fontId="15" fillId="45" borderId="0"/>
    <xf numFmtId="0" fontId="15" fillId="46" borderId="0"/>
    <xf numFmtId="0" fontId="15" fillId="46" borderId="0"/>
    <xf numFmtId="0" fontId="15" fillId="46" borderId="0"/>
    <xf numFmtId="0" fontId="15" fillId="46" borderId="0"/>
    <xf numFmtId="0" fontId="15" fillId="46" borderId="0"/>
    <xf numFmtId="0" fontId="58" fillId="47" borderId="0"/>
    <xf numFmtId="0" fontId="58" fillId="47" borderId="0"/>
    <xf numFmtId="0" fontId="58" fillId="48" borderId="0"/>
    <xf numFmtId="0" fontId="58" fillId="48" borderId="0"/>
    <xf numFmtId="0" fontId="58" fillId="49" borderId="0"/>
    <xf numFmtId="0" fontId="58" fillId="49" borderId="0"/>
    <xf numFmtId="0" fontId="58" fillId="50" borderId="0"/>
    <xf numFmtId="0" fontId="58" fillId="50" borderId="0"/>
    <xf numFmtId="0" fontId="58" fillId="51" borderId="0"/>
    <xf numFmtId="0" fontId="58" fillId="51" borderId="0"/>
    <xf numFmtId="0" fontId="58" fillId="52" borderId="0"/>
    <xf numFmtId="0" fontId="58" fillId="52" borderId="0"/>
    <xf numFmtId="0" fontId="15" fillId="35" borderId="0"/>
    <xf numFmtId="0" fontId="15" fillId="36" borderId="0"/>
    <xf numFmtId="0" fontId="15" fillId="37" borderId="0"/>
    <xf numFmtId="0" fontId="15" fillId="38" borderId="0"/>
    <xf numFmtId="0" fontId="15" fillId="39" borderId="0"/>
    <xf numFmtId="0" fontId="15" fillId="40" borderId="0"/>
    <xf numFmtId="0" fontId="15" fillId="41" borderId="0"/>
    <xf numFmtId="0" fontId="15" fillId="42" borderId="0"/>
    <xf numFmtId="0" fontId="15" fillId="43" borderId="0"/>
    <xf numFmtId="0" fontId="15" fillId="44" borderId="0"/>
    <xf numFmtId="0" fontId="15" fillId="45" borderId="0"/>
    <xf numFmtId="0" fontId="15" fillId="46" borderId="0"/>
    <xf numFmtId="0" fontId="58" fillId="53" borderId="0"/>
    <xf numFmtId="0" fontId="58" fillId="54" borderId="0"/>
    <xf numFmtId="0" fontId="58" fillId="55" borderId="0"/>
    <xf numFmtId="0" fontId="58" fillId="56" borderId="0"/>
    <xf numFmtId="0" fontId="58" fillId="57" borderId="0"/>
    <xf numFmtId="0" fontId="58" fillId="58" borderId="0"/>
    <xf numFmtId="0" fontId="59" fillId="59" borderId="0"/>
    <xf numFmtId="0" fontId="60" fillId="60" borderId="4"/>
    <xf numFmtId="0" fontId="61" fillId="55" borderId="7"/>
    <xf numFmtId="0" fontId="62" fillId="0" borderId="0"/>
    <xf numFmtId="0" fontId="63" fillId="61" borderId="0"/>
    <xf numFmtId="0" fontId="64" fillId="0" borderId="10"/>
    <xf numFmtId="0" fontId="65" fillId="0" borderId="11"/>
    <xf numFmtId="0" fontId="66" fillId="0" borderId="12"/>
    <xf numFmtId="0" fontId="66" fillId="0" borderId="0"/>
    <xf numFmtId="0" fontId="41" fillId="0" borderId="0"/>
    <xf numFmtId="0" fontId="67" fillId="62" borderId="4"/>
    <xf numFmtId="0" fontId="68" fillId="0" borderId="6"/>
    <xf numFmtId="169" fontId="15" fillId="0" borderId="0"/>
    <xf numFmtId="169" fontId="15" fillId="0" borderId="0"/>
    <xf numFmtId="169" fontId="15" fillId="0" borderId="0"/>
    <xf numFmtId="169" fontId="15" fillId="0" borderId="0"/>
    <xf numFmtId="0" fontId="69" fillId="60" borderId="5"/>
    <xf numFmtId="0" fontId="70" fillId="0" borderId="0"/>
    <xf numFmtId="0" fontId="71" fillId="0" borderId="13"/>
    <xf numFmtId="0" fontId="72" fillId="0" borderId="0"/>
    <xf numFmtId="0" fontId="73" fillId="0" borderId="0">
      <alignment horizontal="center"/>
    </xf>
    <xf numFmtId="169" fontId="39" fillId="0" borderId="0">
      <alignment horizontal="center"/>
    </xf>
    <xf numFmtId="169" fontId="39" fillId="0" borderId="0">
      <alignment horizontal="center"/>
    </xf>
    <xf numFmtId="0" fontId="73" fillId="0" borderId="0">
      <alignment horizontal="center" textRotation="90"/>
    </xf>
    <xf numFmtId="169" fontId="39" fillId="0" borderId="0">
      <alignment horizontal="center" textRotation="90"/>
    </xf>
    <xf numFmtId="169" fontId="39" fillId="0" borderId="0">
      <alignment horizontal="center" textRotation="90"/>
    </xf>
    <xf numFmtId="169" fontId="15" fillId="0" borderId="0"/>
    <xf numFmtId="169" fontId="15" fillId="0" borderId="0"/>
    <xf numFmtId="0" fontId="74" fillId="0" borderId="0"/>
    <xf numFmtId="169" fontId="40" fillId="0" borderId="0"/>
    <xf numFmtId="169" fontId="40" fillId="0" borderId="0"/>
    <xf numFmtId="165" fontId="74" fillId="0" borderId="0"/>
    <xf numFmtId="165" fontId="40" fillId="0" borderId="0"/>
    <xf numFmtId="165" fontId="40" fillId="0" borderId="0"/>
    <xf numFmtId="169" fontId="41" fillId="0" borderId="0"/>
    <xf numFmtId="169" fontId="75" fillId="0" borderId="0"/>
    <xf numFmtId="169" fontId="76" fillId="0" borderId="0"/>
    <xf numFmtId="169" fontId="75" fillId="0" borderId="0"/>
    <xf numFmtId="0" fontId="77" fillId="63" borderId="0"/>
    <xf numFmtId="0" fontId="77" fillId="63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78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79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70" fontId="15" fillId="0" borderId="0"/>
    <xf numFmtId="0" fontId="57" fillId="64" borderId="8"/>
    <xf numFmtId="0" fontId="57" fillId="64" borderId="8"/>
    <xf numFmtId="0" fontId="57" fillId="64" borderId="8"/>
    <xf numFmtId="0" fontId="57" fillId="64" borderId="8"/>
    <xf numFmtId="0" fontId="57" fillId="64" borderId="8"/>
    <xf numFmtId="0" fontId="57" fillId="64" borderId="8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15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15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15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15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15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15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15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15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8" applyNumberFormat="0" applyFont="0" applyAlignment="0" applyProtection="0"/>
    <xf numFmtId="0" fontId="5" fillId="9" borderId="8" applyNumberFormat="0" applyFont="0" applyAlignment="0" applyProtection="0"/>
    <xf numFmtId="0" fontId="5" fillId="9" borderId="8" applyNumberFormat="0" applyFont="0" applyAlignment="0" applyProtection="0"/>
    <xf numFmtId="0" fontId="5" fillId="9" borderId="8" applyNumberFormat="0" applyFon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3" fillId="5" borderId="0" applyNumberFormat="0" applyBorder="0" applyAlignment="0" applyProtection="0"/>
    <xf numFmtId="0" fontId="36" fillId="13" borderId="0" applyNumberFormat="0" applyBorder="0" applyAlignment="0" applyProtection="0"/>
    <xf numFmtId="0" fontId="36" fillId="17" borderId="0" applyNumberFormat="0" applyBorder="0" applyAlignment="0" applyProtection="0"/>
    <xf numFmtId="0" fontId="36" fillId="21" borderId="0" applyNumberFormat="0" applyBorder="0" applyAlignment="0" applyProtection="0"/>
    <xf numFmtId="0" fontId="36" fillId="25" borderId="0" applyNumberFormat="0" applyBorder="0" applyAlignment="0" applyProtection="0"/>
    <xf numFmtId="0" fontId="36" fillId="29" borderId="0" applyNumberFormat="0" applyBorder="0" applyAlignment="0" applyProtection="0"/>
    <xf numFmtId="0" fontId="36" fillId="33" borderId="0" applyNumberFormat="0" applyBorder="0" applyAlignment="0" applyProtection="0"/>
    <xf numFmtId="0" fontId="5" fillId="0" borderId="0"/>
    <xf numFmtId="0" fontId="5" fillId="9" borderId="8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8" applyNumberFormat="0" applyFont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9" borderId="8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8" applyNumberFormat="0" applyFont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9" borderId="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8" applyNumberFormat="0" applyFont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8" applyNumberFormat="0" applyFont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8" applyNumberFormat="0" applyFont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1" fontId="57" fillId="0" borderId="0"/>
    <xf numFmtId="171" fontId="57" fillId="0" borderId="0"/>
    <xf numFmtId="0" fontId="1" fillId="0" borderId="0"/>
    <xf numFmtId="43" fontId="1" fillId="0" borderId="0" applyFont="0" applyFill="0" applyBorder="0" applyAlignment="0" applyProtection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69" fontId="15" fillId="0" borderId="0"/>
    <xf numFmtId="171" fontId="57" fillId="0" borderId="0"/>
    <xf numFmtId="0" fontId="1" fillId="0" borderId="0"/>
    <xf numFmtId="43" fontId="1" fillId="0" borderId="0" applyFont="0" applyFill="0" applyBorder="0" applyAlignment="0" applyProtection="0"/>
    <xf numFmtId="171" fontId="57" fillId="0" borderId="0"/>
    <xf numFmtId="171" fontId="57" fillId="0" borderId="0"/>
    <xf numFmtId="171" fontId="57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1" fontId="57" fillId="0" borderId="0"/>
    <xf numFmtId="171" fontId="57" fillId="0" borderId="0"/>
    <xf numFmtId="171" fontId="57" fillId="0" borderId="0"/>
    <xf numFmtId="171" fontId="57" fillId="0" borderId="0"/>
    <xf numFmtId="169" fontId="15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171" fontId="57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171" fontId="57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171" fontId="57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0" fontId="1" fillId="0" borderId="0"/>
    <xf numFmtId="0" fontId="1" fillId="0" borderId="0"/>
    <xf numFmtId="171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57" fillId="0" borderId="0"/>
    <xf numFmtId="171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57" fillId="0" borderId="0"/>
    <xf numFmtId="171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43" fontId="1" fillId="0" borderId="0" applyFont="0" applyFill="0" applyBorder="0" applyAlignment="0" applyProtection="0"/>
    <xf numFmtId="171" fontId="5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7" fillId="0" borderId="0"/>
    <xf numFmtId="171" fontId="5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7" fillId="0" borderId="0"/>
    <xf numFmtId="171" fontId="5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5" fillId="0" borderId="0"/>
    <xf numFmtId="171" fontId="5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7" fillId="0" borderId="0"/>
    <xf numFmtId="0" fontId="15" fillId="44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7" fillId="0" borderId="0"/>
    <xf numFmtId="169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45" borderId="0"/>
    <xf numFmtId="171" fontId="5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5" fillId="0" borderId="0"/>
    <xf numFmtId="169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7" fillId="0" borderId="0"/>
    <xf numFmtId="169" fontId="15" fillId="0" borderId="0"/>
    <xf numFmtId="171" fontId="57" fillId="0" borderId="0"/>
    <xf numFmtId="169" fontId="15" fillId="0" borderId="0"/>
    <xf numFmtId="171" fontId="57" fillId="0" borderId="0"/>
    <xf numFmtId="171" fontId="57" fillId="0" borderId="0"/>
    <xf numFmtId="171" fontId="57" fillId="0" borderId="0"/>
    <xf numFmtId="169" fontId="15" fillId="0" borderId="0"/>
    <xf numFmtId="169" fontId="15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69" fontId="15" fillId="0" borderId="0"/>
    <xf numFmtId="171" fontId="57" fillId="0" borderId="0"/>
    <xf numFmtId="171" fontId="57" fillId="0" borderId="0"/>
    <xf numFmtId="169" fontId="15" fillId="0" borderId="0"/>
    <xf numFmtId="171" fontId="57" fillId="0" borderId="0"/>
    <xf numFmtId="169" fontId="15" fillId="0" borderId="0"/>
    <xf numFmtId="0" fontId="15" fillId="35" borderId="0"/>
    <xf numFmtId="171" fontId="57" fillId="0" borderId="0"/>
    <xf numFmtId="171" fontId="57" fillId="0" borderId="0"/>
    <xf numFmtId="169" fontId="15" fillId="0" borderId="0"/>
    <xf numFmtId="0" fontId="15" fillId="35" borderId="0"/>
    <xf numFmtId="171" fontId="57" fillId="0" borderId="0"/>
    <xf numFmtId="171" fontId="57" fillId="0" borderId="0"/>
    <xf numFmtId="0" fontId="57" fillId="0" borderId="0"/>
    <xf numFmtId="169" fontId="15" fillId="0" borderId="0"/>
    <xf numFmtId="0" fontId="15" fillId="36" borderId="0"/>
    <xf numFmtId="171" fontId="57" fillId="0" borderId="0"/>
    <xf numFmtId="171" fontId="57" fillId="0" borderId="0"/>
    <xf numFmtId="171" fontId="57" fillId="0" borderId="0"/>
    <xf numFmtId="169" fontId="15" fillId="0" borderId="0"/>
    <xf numFmtId="171" fontId="57" fillId="0" borderId="0"/>
    <xf numFmtId="169" fontId="15" fillId="0" borderId="0"/>
    <xf numFmtId="171" fontId="57" fillId="0" borderId="0"/>
    <xf numFmtId="171" fontId="57" fillId="0" borderId="0"/>
    <xf numFmtId="171" fontId="57" fillId="0" borderId="0"/>
    <xf numFmtId="169" fontId="15" fillId="0" borderId="0"/>
    <xf numFmtId="171" fontId="57" fillId="0" borderId="0"/>
    <xf numFmtId="171" fontId="5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7" fillId="0" borderId="0"/>
    <xf numFmtId="171" fontId="5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7" fillId="0" borderId="0"/>
    <xf numFmtId="171" fontId="5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7" fillId="0" borderId="0"/>
    <xf numFmtId="171" fontId="5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5" fillId="0" borderId="0"/>
    <xf numFmtId="0" fontId="15" fillId="44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7" fillId="0" borderId="0"/>
    <xf numFmtId="0" fontId="15" fillId="39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41" borderId="0"/>
    <xf numFmtId="0" fontId="15" fillId="41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7" fillId="0" borderId="0"/>
    <xf numFmtId="171" fontId="5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7" fillId="0" borderId="0"/>
    <xf numFmtId="171" fontId="5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7" fillId="0" borderId="0"/>
    <xf numFmtId="171" fontId="5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7" fillId="0" borderId="0"/>
    <xf numFmtId="171" fontId="57" fillId="0" borderId="0"/>
    <xf numFmtId="169" fontId="15" fillId="0" borderId="0"/>
    <xf numFmtId="171" fontId="57" fillId="0" borderId="0"/>
    <xf numFmtId="169" fontId="15" fillId="0" borderId="0"/>
    <xf numFmtId="169" fontId="15" fillId="0" borderId="0"/>
    <xf numFmtId="171" fontId="57" fillId="0" borderId="0"/>
    <xf numFmtId="171" fontId="57" fillId="0" borderId="0"/>
    <xf numFmtId="169" fontId="15" fillId="0" borderId="0"/>
    <xf numFmtId="169" fontId="15" fillId="0" borderId="0"/>
    <xf numFmtId="171" fontId="57" fillId="0" borderId="0"/>
    <xf numFmtId="169" fontId="15" fillId="0" borderId="0"/>
    <xf numFmtId="169" fontId="15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69" fontId="15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69" fontId="15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0" fontId="15" fillId="36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69" fontId="15" fillId="0" borderId="0"/>
    <xf numFmtId="0" fontId="58" fillId="49" borderId="0"/>
    <xf numFmtId="169" fontId="15" fillId="0" borderId="0"/>
    <xf numFmtId="169" fontId="15" fillId="0" borderId="0"/>
    <xf numFmtId="171" fontId="57" fillId="0" borderId="0"/>
    <xf numFmtId="169" fontId="15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69" fontId="15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1" fontId="57" fillId="0" borderId="0"/>
    <xf numFmtId="0" fontId="1" fillId="0" borderId="0"/>
    <xf numFmtId="43" fontId="1" fillId="0" borderId="0" applyFont="0" applyFill="0" applyBorder="0" applyAlignment="0" applyProtection="0"/>
    <xf numFmtId="171" fontId="57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8" applyNumberFormat="0" applyFont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69" fontId="15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69" fontId="15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0" fontId="57" fillId="64" borderId="8"/>
    <xf numFmtId="0" fontId="57" fillId="64" borderId="8"/>
    <xf numFmtId="0" fontId="57" fillId="64" borderId="8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71" fontId="57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71" fontId="57" fillId="0" borderId="0"/>
    <xf numFmtId="171" fontId="57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71" fontId="57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71" fontId="57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0" fontId="77" fillId="63" borderId="0"/>
    <xf numFmtId="0" fontId="58" fillId="51" borderId="0"/>
    <xf numFmtId="171" fontId="57" fillId="0" borderId="0"/>
    <xf numFmtId="0" fontId="58" fillId="48" borderId="0"/>
    <xf numFmtId="0" fontId="58" fillId="47" borderId="0"/>
    <xf numFmtId="0" fontId="15" fillId="46" borderId="0"/>
    <xf numFmtId="0" fontId="15" fillId="46" borderId="0"/>
    <xf numFmtId="0" fontId="15" fillId="46" borderId="0"/>
    <xf numFmtId="0" fontId="15" fillId="45" borderId="0"/>
    <xf numFmtId="0" fontId="15" fillId="44" borderId="0"/>
    <xf numFmtId="0" fontId="15" fillId="43" borderId="0"/>
    <xf numFmtId="0" fontId="15" fillId="43" borderId="0"/>
    <xf numFmtId="0" fontId="15" fillId="43" borderId="0"/>
    <xf numFmtId="0" fontId="15" fillId="43" borderId="0"/>
    <xf numFmtId="0" fontId="15" fillId="41" borderId="0"/>
    <xf numFmtId="0" fontId="15" fillId="40" borderId="0"/>
    <xf numFmtId="0" fontId="15" fillId="4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69" fontId="15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69" fontId="15" fillId="0" borderId="0"/>
    <xf numFmtId="169" fontId="15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0" fontId="15" fillId="35" borderId="0"/>
    <xf numFmtId="171" fontId="57" fillId="0" borderId="0"/>
    <xf numFmtId="171" fontId="57" fillId="0" borderId="0"/>
    <xf numFmtId="171" fontId="57" fillId="0" borderId="0"/>
    <xf numFmtId="169" fontId="15" fillId="0" borderId="0"/>
    <xf numFmtId="0" fontId="15" fillId="39" borderId="0"/>
    <xf numFmtId="0" fontId="15" fillId="36" borderId="0"/>
    <xf numFmtId="0" fontId="15" fillId="38" borderId="0"/>
    <xf numFmtId="0" fontId="15" fillId="39" borderId="0"/>
    <xf numFmtId="171" fontId="57" fillId="0" borderId="0"/>
    <xf numFmtId="169" fontId="15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69" fontId="15" fillId="0" borderId="0"/>
    <xf numFmtId="169" fontId="15" fillId="0" borderId="0"/>
    <xf numFmtId="171" fontId="57" fillId="0" borderId="0"/>
    <xf numFmtId="169" fontId="15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69" fontId="15" fillId="0" borderId="0"/>
    <xf numFmtId="171" fontId="57" fillId="0" borderId="0"/>
    <xf numFmtId="171" fontId="57" fillId="0" borderId="0"/>
    <xf numFmtId="171" fontId="57" fillId="0" borderId="0"/>
    <xf numFmtId="169" fontId="15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69" fontId="15" fillId="0" borderId="0"/>
    <xf numFmtId="171" fontId="57" fillId="0" borderId="0"/>
    <xf numFmtId="0" fontId="15" fillId="42" borderId="0"/>
    <xf numFmtId="169" fontId="15" fillId="0" borderId="0"/>
    <xf numFmtId="171" fontId="57" fillId="0" borderId="0"/>
    <xf numFmtId="169" fontId="15" fillId="0" borderId="0"/>
    <xf numFmtId="171" fontId="57" fillId="0" borderId="0"/>
    <xf numFmtId="171" fontId="57" fillId="0" borderId="0"/>
    <xf numFmtId="169" fontId="15" fillId="0" borderId="0"/>
    <xf numFmtId="169" fontId="15" fillId="0" borderId="0"/>
    <xf numFmtId="171" fontId="57" fillId="0" borderId="0"/>
    <xf numFmtId="171" fontId="57" fillId="0" borderId="0"/>
    <xf numFmtId="171" fontId="57" fillId="0" borderId="0"/>
    <xf numFmtId="0" fontId="15" fillId="37" borderId="0"/>
    <xf numFmtId="171" fontId="57" fillId="0" borderId="0"/>
    <xf numFmtId="169" fontId="15" fillId="0" borderId="0"/>
    <xf numFmtId="0" fontId="15" fillId="40" borderId="0"/>
    <xf numFmtId="171" fontId="57" fillId="0" borderId="0"/>
    <xf numFmtId="0" fontId="15" fillId="44" borderId="0"/>
    <xf numFmtId="171" fontId="57" fillId="0" borderId="0"/>
    <xf numFmtId="169" fontId="15" fillId="0" borderId="0"/>
    <xf numFmtId="0" fontId="15" fillId="37" borderId="0"/>
    <xf numFmtId="169" fontId="15" fillId="0" borderId="0"/>
    <xf numFmtId="169" fontId="15" fillId="0" borderId="0"/>
    <xf numFmtId="171" fontId="57" fillId="0" borderId="0"/>
    <xf numFmtId="0" fontId="15" fillId="42" borderId="0"/>
    <xf numFmtId="0" fontId="15" fillId="37" borderId="0"/>
    <xf numFmtId="169" fontId="15" fillId="0" borderId="0"/>
    <xf numFmtId="169" fontId="15" fillId="0" borderId="0"/>
    <xf numFmtId="171" fontId="57" fillId="0" borderId="0"/>
    <xf numFmtId="171" fontId="57" fillId="0" borderId="0"/>
    <xf numFmtId="171" fontId="57" fillId="0" borderId="0"/>
    <xf numFmtId="169" fontId="15" fillId="0" borderId="0"/>
    <xf numFmtId="171" fontId="57" fillId="0" borderId="0"/>
    <xf numFmtId="169" fontId="15" fillId="0" borderId="0"/>
    <xf numFmtId="0" fontId="15" fillId="39" borderId="0"/>
    <xf numFmtId="171" fontId="57" fillId="0" borderId="0"/>
    <xf numFmtId="169" fontId="15" fillId="0" borderId="0"/>
    <xf numFmtId="171" fontId="57" fillId="0" borderId="0"/>
    <xf numFmtId="0" fontId="58" fillId="52" borderId="0"/>
    <xf numFmtId="0" fontId="15" fillId="36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69" fontId="15" fillId="0" borderId="0"/>
    <xf numFmtId="171" fontId="57" fillId="0" borderId="0"/>
    <xf numFmtId="171" fontId="57" fillId="0" borderId="0"/>
    <xf numFmtId="171" fontId="57" fillId="0" borderId="0"/>
    <xf numFmtId="0" fontId="15" fillId="45" borderId="0"/>
    <xf numFmtId="171" fontId="57" fillId="0" borderId="0"/>
    <xf numFmtId="169" fontId="15" fillId="0" borderId="0"/>
    <xf numFmtId="171" fontId="57" fillId="0" borderId="0"/>
    <xf numFmtId="169" fontId="15" fillId="0" borderId="0"/>
    <xf numFmtId="169" fontId="15" fillId="0" borderId="0"/>
    <xf numFmtId="169" fontId="15" fillId="0" borderId="0"/>
    <xf numFmtId="171" fontId="57" fillId="0" borderId="0"/>
    <xf numFmtId="171" fontId="57" fillId="0" borderId="0"/>
    <xf numFmtId="169" fontId="15" fillId="0" borderId="0"/>
    <xf numFmtId="169" fontId="15" fillId="0" borderId="0"/>
    <xf numFmtId="171" fontId="57" fillId="0" borderId="0"/>
    <xf numFmtId="169" fontId="15" fillId="0" borderId="0"/>
    <xf numFmtId="171" fontId="57" fillId="0" borderId="0"/>
    <xf numFmtId="171" fontId="57" fillId="0" borderId="0"/>
    <xf numFmtId="171" fontId="57" fillId="0" borderId="0"/>
    <xf numFmtId="0" fontId="15" fillId="35" borderId="0"/>
    <xf numFmtId="171" fontId="57" fillId="0" borderId="0"/>
    <xf numFmtId="171" fontId="57" fillId="0" borderId="0"/>
    <xf numFmtId="171" fontId="57" fillId="0" borderId="0"/>
    <xf numFmtId="169" fontId="15" fillId="0" borderId="0"/>
    <xf numFmtId="171" fontId="57" fillId="0" borderId="0"/>
    <xf numFmtId="171" fontId="57" fillId="0" borderId="0"/>
    <xf numFmtId="169" fontId="15" fillId="0" borderId="0"/>
    <xf numFmtId="171" fontId="57" fillId="0" borderId="0"/>
    <xf numFmtId="169" fontId="15" fillId="0" borderId="0"/>
    <xf numFmtId="0" fontId="15" fillId="41" borderId="0"/>
    <xf numFmtId="169" fontId="15" fillId="0" borderId="0"/>
    <xf numFmtId="169" fontId="15" fillId="0" borderId="0"/>
    <xf numFmtId="169" fontId="15" fillId="0" borderId="0"/>
    <xf numFmtId="171" fontId="57" fillId="0" borderId="0"/>
    <xf numFmtId="169" fontId="15" fillId="0" borderId="0"/>
    <xf numFmtId="171" fontId="57" fillId="0" borderId="0"/>
    <xf numFmtId="169" fontId="15" fillId="0" borderId="0"/>
    <xf numFmtId="0" fontId="15" fillId="42" borderId="0"/>
    <xf numFmtId="0" fontId="15" fillId="37" borderId="0"/>
    <xf numFmtId="171" fontId="57" fillId="0" borderId="0"/>
    <xf numFmtId="171" fontId="57" fillId="0" borderId="0"/>
    <xf numFmtId="171" fontId="57" fillId="0" borderId="0"/>
    <xf numFmtId="169" fontId="15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69" fontId="15" fillId="0" borderId="0"/>
    <xf numFmtId="0" fontId="15" fillId="38" borderId="0"/>
    <xf numFmtId="0" fontId="15" fillId="46" borderId="0"/>
    <xf numFmtId="0" fontId="15" fillId="38" borderId="0"/>
    <xf numFmtId="0" fontId="15" fillId="38" borderId="0"/>
    <xf numFmtId="171" fontId="57" fillId="0" borderId="0"/>
    <xf numFmtId="171" fontId="57" fillId="0" borderId="0"/>
    <xf numFmtId="171" fontId="57" fillId="0" borderId="0"/>
    <xf numFmtId="169" fontId="15" fillId="0" borderId="0"/>
    <xf numFmtId="0" fontId="15" fillId="45" borderId="0"/>
    <xf numFmtId="171" fontId="57" fillId="0" borderId="0"/>
    <xf numFmtId="171" fontId="57" fillId="0" borderId="0"/>
    <xf numFmtId="169" fontId="15" fillId="0" borderId="0"/>
    <xf numFmtId="171" fontId="57" fillId="0" borderId="0"/>
    <xf numFmtId="169" fontId="15" fillId="0" borderId="0"/>
    <xf numFmtId="171" fontId="57" fillId="0" borderId="0"/>
    <xf numFmtId="0" fontId="15" fillId="42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69" fontId="15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0" fontId="57" fillId="64" borderId="8"/>
    <xf numFmtId="169" fontId="15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69" fontId="15" fillId="0" borderId="0"/>
    <xf numFmtId="171" fontId="57" fillId="0" borderId="0"/>
    <xf numFmtId="0" fontId="15" fillId="4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69" fontId="15" fillId="0" borderId="0"/>
    <xf numFmtId="171" fontId="57" fillId="0" borderId="0"/>
    <xf numFmtId="169" fontId="15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0" fontId="58" fillId="50" borderId="0"/>
    <xf numFmtId="169" fontId="15" fillId="0" borderId="0"/>
    <xf numFmtId="171" fontId="57" fillId="0" borderId="0"/>
    <xf numFmtId="171" fontId="57" fillId="0" borderId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69" borderId="0" applyNumberFormat="0" applyBorder="0" applyAlignment="0" applyProtection="0"/>
    <xf numFmtId="0" fontId="21" fillId="6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0" fontId="21" fillId="0" borderId="0"/>
    <xf numFmtId="0" fontId="21" fillId="6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167" fontId="94" fillId="0" borderId="0" applyFill="0" applyBorder="0" applyAlignment="0" applyProtection="0"/>
    <xf numFmtId="0" fontId="21" fillId="67" borderId="0" applyNumberFormat="0" applyBorder="0" applyAlignment="0" applyProtection="0"/>
    <xf numFmtId="0" fontId="21" fillId="0" borderId="0"/>
    <xf numFmtId="167" fontId="94" fillId="0" borderId="0" applyFill="0" applyBorder="0" applyAlignment="0" applyProtection="0"/>
    <xf numFmtId="0" fontId="21" fillId="69" borderId="0" applyNumberFormat="0" applyBorder="0" applyAlignment="0" applyProtection="0"/>
    <xf numFmtId="167" fontId="94" fillId="0" borderId="0" applyFill="0" applyBorder="0" applyAlignment="0" applyProtection="0"/>
    <xf numFmtId="0" fontId="21" fillId="76" borderId="0" applyNumberFormat="0" applyBorder="0" applyAlignment="0" applyProtection="0"/>
    <xf numFmtId="167" fontId="94" fillId="0" borderId="0" applyFill="0" applyBorder="0" applyAlignment="0" applyProtection="0"/>
    <xf numFmtId="0" fontId="21" fillId="0" borderId="0"/>
    <xf numFmtId="167" fontId="94" fillId="0" borderId="0" applyFill="0" applyBorder="0" applyAlignment="0" applyProtection="0"/>
    <xf numFmtId="0" fontId="21" fillId="0" borderId="0"/>
    <xf numFmtId="167" fontId="94" fillId="0" borderId="0" applyFill="0" applyBorder="0" applyAlignment="0" applyProtection="0"/>
    <xf numFmtId="0" fontId="21" fillId="68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167" fontId="94" fillId="0" borderId="0" applyFill="0" applyBorder="0" applyAlignment="0" applyProtection="0"/>
    <xf numFmtId="0" fontId="21" fillId="0" borderId="0"/>
    <xf numFmtId="0" fontId="21" fillId="65" borderId="0" applyNumberFormat="0" applyBorder="0" applyAlignment="0" applyProtection="0"/>
    <xf numFmtId="0" fontId="21" fillId="66" borderId="0" applyNumberFormat="0" applyBorder="0" applyAlignment="0" applyProtection="0"/>
    <xf numFmtId="0" fontId="21" fillId="66" borderId="0" applyNumberFormat="0" applyBorder="0" applyAlignment="0" applyProtection="0"/>
    <xf numFmtId="0" fontId="21" fillId="0" borderId="0"/>
    <xf numFmtId="0" fontId="21" fillId="68" borderId="0" applyNumberFormat="0" applyBorder="0" applyAlignment="0" applyProtection="0"/>
    <xf numFmtId="0" fontId="21" fillId="0" borderId="0"/>
    <xf numFmtId="0" fontId="21" fillId="0" borderId="0"/>
    <xf numFmtId="0" fontId="21" fillId="68" borderId="0" applyNumberFormat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0" fontId="92" fillId="0" borderId="0" applyNumberFormat="0" applyFill="0" applyBorder="0" applyAlignment="0" applyProtection="0"/>
    <xf numFmtId="167" fontId="94" fillId="0" borderId="0" applyFill="0" applyBorder="0" applyAlignment="0" applyProtection="0"/>
    <xf numFmtId="0" fontId="21" fillId="65" borderId="0" applyNumberFormat="0" applyBorder="0" applyAlignment="0" applyProtection="0"/>
    <xf numFmtId="167" fontId="94" fillId="0" borderId="0" applyFill="0" applyBorder="0" applyAlignment="0" applyProtection="0"/>
    <xf numFmtId="0" fontId="21" fillId="65" borderId="0" applyNumberFormat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0" fontId="21" fillId="65" borderId="0" applyNumberFormat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0" fontId="21" fillId="65" borderId="0" applyNumberFormat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0" fontId="21" fillId="0" borderId="0"/>
    <xf numFmtId="167" fontId="94" fillId="0" borderId="0" applyFill="0" applyBorder="0" applyAlignment="0" applyProtection="0"/>
    <xf numFmtId="0" fontId="21" fillId="0" borderId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0" fontId="21" fillId="0" borderId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0" fontId="21" fillId="0" borderId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0" fontId="21" fillId="0" borderId="0"/>
    <xf numFmtId="167" fontId="94" fillId="0" borderId="0" applyFill="0" applyBorder="0" applyAlignment="0" applyProtection="0"/>
    <xf numFmtId="0" fontId="21" fillId="0" borderId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0" fontId="21" fillId="0" borderId="0"/>
    <xf numFmtId="167" fontId="94" fillId="0" borderId="0" applyFill="0" applyBorder="0" applyAlignment="0" applyProtection="0"/>
    <xf numFmtId="0" fontId="21" fillId="0" borderId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0" fontId="21" fillId="66" borderId="0" applyNumberFormat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0" fontId="21" fillId="0" borderId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9" borderId="0" applyNumberFormat="0" applyBorder="0" applyAlignment="0" applyProtection="0"/>
    <xf numFmtId="0" fontId="21" fillId="75" borderId="0" applyNumberFormat="0" applyBorder="0" applyAlignment="0" applyProtection="0"/>
    <xf numFmtId="0" fontId="21" fillId="69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71" borderId="0" applyNumberFormat="0" applyBorder="0" applyAlignment="0" applyProtection="0"/>
    <xf numFmtId="0" fontId="21" fillId="71" borderId="0" applyNumberFormat="0" applyBorder="0" applyAlignment="0" applyProtection="0"/>
    <xf numFmtId="0" fontId="21" fillId="71" borderId="0" applyNumberFormat="0" applyBorder="0" applyAlignment="0" applyProtection="0"/>
    <xf numFmtId="0" fontId="21" fillId="71" borderId="0" applyNumberFormat="0" applyBorder="0" applyAlignment="0" applyProtection="0"/>
    <xf numFmtId="0" fontId="21" fillId="71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4" borderId="0" applyNumberFormat="0" applyBorder="0" applyAlignment="0" applyProtection="0"/>
    <xf numFmtId="0" fontId="21" fillId="75" borderId="0" applyNumberFormat="0" applyBorder="0" applyAlignment="0" applyProtection="0"/>
    <xf numFmtId="0" fontId="21" fillId="75" borderId="0" applyNumberFormat="0" applyBorder="0" applyAlignment="0" applyProtection="0"/>
    <xf numFmtId="0" fontId="21" fillId="75" borderId="0" applyNumberFormat="0" applyBorder="0" applyAlignment="0" applyProtection="0"/>
    <xf numFmtId="0" fontId="21" fillId="75" borderId="0" applyNumberFormat="0" applyBorder="0" applyAlignment="0" applyProtection="0"/>
    <xf numFmtId="0" fontId="21" fillId="76" borderId="0" applyNumberFormat="0" applyBorder="0" applyAlignment="0" applyProtection="0"/>
    <xf numFmtId="0" fontId="21" fillId="76" borderId="0" applyNumberFormat="0" applyBorder="0" applyAlignment="0" applyProtection="0"/>
    <xf numFmtId="0" fontId="21" fillId="76" borderId="0" applyNumberFormat="0" applyBorder="0" applyAlignment="0" applyProtection="0"/>
    <xf numFmtId="0" fontId="21" fillId="76" borderId="0" applyNumberFormat="0" applyBorder="0" applyAlignment="0" applyProtection="0"/>
    <xf numFmtId="0" fontId="91" fillId="77" borderId="0" applyNumberFormat="0" applyBorder="0" applyAlignment="0" applyProtection="0"/>
    <xf numFmtId="0" fontId="91" fillId="77" borderId="0" applyNumberFormat="0" applyBorder="0" applyAlignment="0" applyProtection="0"/>
    <xf numFmtId="0" fontId="91" fillId="78" borderId="0" applyNumberFormat="0" applyBorder="0" applyAlignment="0" applyProtection="0"/>
    <xf numFmtId="0" fontId="91" fillId="78" borderId="0" applyNumberFormat="0" applyBorder="0" applyAlignment="0" applyProtection="0"/>
    <xf numFmtId="0" fontId="91" fillId="79" borderId="0" applyNumberFormat="0" applyBorder="0" applyAlignment="0" applyProtection="0"/>
    <xf numFmtId="0" fontId="91" fillId="79" borderId="0" applyNumberFormat="0" applyBorder="0" applyAlignment="0" applyProtection="0"/>
    <xf numFmtId="0" fontId="91" fillId="80" borderId="0" applyNumberFormat="0" applyBorder="0" applyAlignment="0" applyProtection="0"/>
    <xf numFmtId="0" fontId="91" fillId="80" borderId="0" applyNumberFormat="0" applyBorder="0" applyAlignment="0" applyProtection="0"/>
    <xf numFmtId="0" fontId="91" fillId="81" borderId="0" applyNumberFormat="0" applyBorder="0" applyAlignment="0" applyProtection="0"/>
    <xf numFmtId="0" fontId="91" fillId="81" borderId="0" applyNumberFormat="0" applyBorder="0" applyAlignment="0" applyProtection="0"/>
    <xf numFmtId="0" fontId="91" fillId="82" borderId="0" applyNumberFormat="0" applyBorder="0" applyAlignment="0" applyProtection="0"/>
    <xf numFmtId="0" fontId="46" fillId="0" borderId="0">
      <alignment horizontal="center"/>
    </xf>
    <xf numFmtId="0" fontId="46" fillId="0" borderId="0">
      <alignment horizontal="center" textRotation="90"/>
    </xf>
    <xf numFmtId="0" fontId="92" fillId="0" borderId="0" applyBorder="0" applyProtection="0"/>
    <xf numFmtId="0" fontId="93" fillId="83" borderId="0" applyNumberFormat="0" applyBorder="0" applyAlignment="0" applyProtection="0"/>
    <xf numFmtId="0" fontId="93" fillId="8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94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94" fillId="0" borderId="0" applyFill="0" applyBorder="0" applyAlignment="0" applyProtection="0"/>
    <xf numFmtId="0" fontId="21" fillId="0" borderId="0"/>
    <xf numFmtId="0" fontId="18" fillId="0" borderId="0"/>
    <xf numFmtId="168" fontId="18" fillId="0" borderId="0" applyBorder="0" applyProtection="0"/>
    <xf numFmtId="0" fontId="94" fillId="84" borderId="14" applyNumberFormat="0" applyAlignment="0" applyProtection="0"/>
    <xf numFmtId="0" fontId="94" fillId="84" borderId="14" applyNumberFormat="0" applyAlignment="0" applyProtection="0"/>
    <xf numFmtId="0" fontId="94" fillId="84" borderId="14" applyNumberFormat="0" applyAlignment="0" applyProtection="0"/>
    <xf numFmtId="0" fontId="94" fillId="84" borderId="14" applyNumberFormat="0" applyAlignment="0" applyProtection="0"/>
    <xf numFmtId="0" fontId="94" fillId="84" borderId="14" applyNumberFormat="0" applyAlignment="0" applyProtection="0"/>
    <xf numFmtId="0" fontId="94" fillId="84" borderId="14" applyNumberFormat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0" fontId="21" fillId="0" borderId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0" fontId="21" fillId="0" borderId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0" fontId="21" fillId="0" borderId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0" fontId="47" fillId="0" borderId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0" fontId="21" fillId="69" borderId="0" applyNumberFormat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0" fontId="21" fillId="0" borderId="0"/>
    <xf numFmtId="0" fontId="21" fillId="0" borderId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0" fontId="21" fillId="0" borderId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0" fontId="21" fillId="74" borderId="0" applyNumberFormat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0" fontId="21" fillId="0" borderId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0" fontId="21" fillId="0" borderId="0"/>
    <xf numFmtId="167" fontId="94" fillId="0" borderId="0" applyFill="0" applyBorder="0" applyAlignment="0" applyProtection="0"/>
    <xf numFmtId="0" fontId="21" fillId="0" borderId="0"/>
    <xf numFmtId="167" fontId="94" fillId="0" borderId="0" applyFill="0" applyBorder="0" applyAlignment="0" applyProtection="0"/>
    <xf numFmtId="0" fontId="21" fillId="74" borderId="0" applyNumberFormat="0" applyBorder="0" applyAlignment="0" applyProtection="0"/>
    <xf numFmtId="167" fontId="94" fillId="0" borderId="0" applyFill="0" applyBorder="0" applyAlignment="0" applyProtection="0"/>
    <xf numFmtId="166" fontId="47" fillId="0" borderId="0"/>
    <xf numFmtId="167" fontId="94" fillId="0" borderId="0" applyFill="0" applyBorder="0" applyAlignment="0" applyProtection="0"/>
    <xf numFmtId="0" fontId="21" fillId="0" borderId="0"/>
    <xf numFmtId="167" fontId="94" fillId="0" borderId="0" applyFill="0" applyBorder="0" applyAlignment="0" applyProtection="0"/>
    <xf numFmtId="0" fontId="21" fillId="0" borderId="0"/>
    <xf numFmtId="167" fontId="94" fillId="0" borderId="0" applyFill="0" applyBorder="0" applyAlignment="0" applyProtection="0"/>
    <xf numFmtId="0" fontId="21" fillId="0" borderId="0"/>
    <xf numFmtId="167" fontId="94" fillId="0" borderId="0" applyFill="0" applyBorder="0" applyAlignment="0" applyProtection="0"/>
    <xf numFmtId="0" fontId="21" fillId="0" borderId="0"/>
    <xf numFmtId="167" fontId="94" fillId="0" borderId="0" applyFill="0" applyBorder="0" applyAlignment="0" applyProtection="0"/>
    <xf numFmtId="0" fontId="21" fillId="74" borderId="0" applyNumberFormat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0" fontId="21" fillId="0" borderId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0" fontId="21" fillId="0" borderId="0"/>
    <xf numFmtId="167" fontId="94" fillId="0" borderId="0" applyFill="0" applyBorder="0" applyAlignment="0" applyProtection="0"/>
    <xf numFmtId="0" fontId="21" fillId="74" borderId="0" applyNumberFormat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0" fontId="21" fillId="0" borderId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0" fontId="21" fillId="0" borderId="0"/>
    <xf numFmtId="167" fontId="94" fillId="0" borderId="0" applyFill="0" applyBorder="0" applyAlignment="0" applyProtection="0"/>
    <xf numFmtId="0" fontId="21" fillId="0" borderId="0"/>
    <xf numFmtId="167" fontId="94" fillId="0" borderId="0" applyFill="0" applyBorder="0" applyAlignment="0" applyProtection="0"/>
    <xf numFmtId="0" fontId="21" fillId="72" borderId="0" applyNumberFormat="0" applyBorder="0" applyAlignment="0" applyProtection="0"/>
    <xf numFmtId="167" fontId="94" fillId="0" borderId="0" applyFill="0" applyBorder="0" applyAlignment="0" applyProtection="0"/>
    <xf numFmtId="0" fontId="91" fillId="82" borderId="0" applyNumberFormat="0" applyBorder="0" applyAlignment="0" applyProtection="0"/>
    <xf numFmtId="167" fontId="94" fillId="0" borderId="0" applyFill="0" applyBorder="0" applyAlignment="0" applyProtection="0"/>
    <xf numFmtId="0" fontId="21" fillId="0" borderId="0"/>
    <xf numFmtId="167" fontId="94" fillId="0" borderId="0" applyFill="0" applyBorder="0" applyAlignment="0" applyProtection="0"/>
    <xf numFmtId="0" fontId="21" fillId="0" borderId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0" fontId="21" fillId="0" borderId="0"/>
    <xf numFmtId="167" fontId="94" fillId="0" borderId="0" applyFill="0" applyBorder="0" applyAlignment="0" applyProtection="0"/>
    <xf numFmtId="0" fontId="21" fillId="0" borderId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0" fontId="21" fillId="0" borderId="0"/>
    <xf numFmtId="167" fontId="94" fillId="0" borderId="0" applyFill="0" applyBorder="0" applyAlignment="0" applyProtection="0"/>
    <xf numFmtId="0" fontId="21" fillId="0" borderId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0" fontId="21" fillId="0" borderId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167" fontId="94" fillId="0" borderId="0" applyFill="0" applyBorder="0" applyAlignment="0" applyProtection="0"/>
    <xf numFmtId="0" fontId="98" fillId="0" borderId="0"/>
    <xf numFmtId="0" fontId="98" fillId="0" borderId="0"/>
  </cellStyleXfs>
  <cellXfs count="147">
    <xf numFmtId="0" fontId="0" fillId="0" borderId="0" xfId="0"/>
    <xf numFmtId="0" fontId="12" fillId="0" borderId="0" xfId="0" applyFont="1"/>
    <xf numFmtId="0" fontId="12" fillId="0" borderId="0" xfId="0" applyFont="1" applyAlignment="1">
      <alignment wrapText="1"/>
    </xf>
    <xf numFmtId="4" fontId="12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center" wrapText="1"/>
    </xf>
    <xf numFmtId="4" fontId="44" fillId="0" borderId="0" xfId="0" applyNumberFormat="1" applyFont="1" applyAlignment="1">
      <alignment horizontal="center" wrapText="1"/>
    </xf>
    <xf numFmtId="4" fontId="45" fillId="0" borderId="0" xfId="0" applyNumberFormat="1" applyFont="1" applyAlignment="1">
      <alignment horizontal="center"/>
    </xf>
    <xf numFmtId="0" fontId="44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51" fillId="0" borderId="0" xfId="0" applyFont="1"/>
    <xf numFmtId="0" fontId="49" fillId="0" borderId="0" xfId="0" applyFont="1"/>
    <xf numFmtId="0" fontId="44" fillId="0" borderId="0" xfId="0" applyFont="1" applyAlignment="1">
      <alignment wrapText="1"/>
    </xf>
    <xf numFmtId="0" fontId="49" fillId="0" borderId="0" xfId="0" applyFont="1" applyAlignment="1">
      <alignment horizontal="center" vertical="center" wrapText="1"/>
    </xf>
    <xf numFmtId="4" fontId="49" fillId="0" borderId="0" xfId="0" applyNumberFormat="1" applyFont="1" applyAlignment="1">
      <alignment horizontal="center" vertical="center" wrapText="1"/>
    </xf>
    <xf numFmtId="0" fontId="49" fillId="34" borderId="0" xfId="0" applyFont="1" applyFill="1" applyAlignment="1">
      <alignment horizontal="center" vertical="center" wrapText="1"/>
    </xf>
    <xf numFmtId="0" fontId="44" fillId="34" borderId="0" xfId="0" applyFont="1" applyFill="1" applyAlignment="1">
      <alignment horizontal="left" wrapText="1"/>
    </xf>
    <xf numFmtId="0" fontId="54" fillId="34" borderId="0" xfId="0" applyFont="1" applyFill="1"/>
    <xf numFmtId="0" fontId="55" fillId="34" borderId="0" xfId="0" applyFont="1" applyFill="1" applyAlignment="1">
      <alignment horizontal="left" wrapText="1"/>
    </xf>
    <xf numFmtId="0" fontId="12" fillId="34" borderId="0" xfId="0" applyFont="1" applyFill="1"/>
    <xf numFmtId="4" fontId="49" fillId="2" borderId="0" xfId="0" applyNumberFormat="1" applyFont="1" applyFill="1" applyAlignment="1">
      <alignment horizontal="center" vertical="center" wrapText="1"/>
    </xf>
    <xf numFmtId="0" fontId="45" fillId="2" borderId="0" xfId="0" applyFont="1" applyFill="1"/>
    <xf numFmtId="4" fontId="44" fillId="2" borderId="0" xfId="0" applyNumberFormat="1" applyFont="1" applyFill="1" applyAlignment="1">
      <alignment horizontal="center" wrapText="1"/>
    </xf>
    <xf numFmtId="0" fontId="44" fillId="2" borderId="0" xfId="0" applyFont="1" applyFill="1" applyAlignment="1">
      <alignment horizontal="center" wrapText="1"/>
    </xf>
    <xf numFmtId="4" fontId="45" fillId="2" borderId="0" xfId="0" applyNumberFormat="1" applyFont="1" applyFill="1" applyAlignment="1">
      <alignment horizontal="center" wrapText="1"/>
    </xf>
    <xf numFmtId="4" fontId="12" fillId="2" borderId="0" xfId="0" applyNumberFormat="1" applyFont="1" applyFill="1" applyAlignment="1">
      <alignment horizontal="center" wrapText="1"/>
    </xf>
    <xf numFmtId="4" fontId="80" fillId="2" borderId="0" xfId="0" applyNumberFormat="1" applyFont="1" applyFill="1" applyAlignment="1">
      <alignment horizontal="center" vertical="center" wrapText="1"/>
    </xf>
    <xf numFmtId="4" fontId="80" fillId="0" borderId="0" xfId="0" applyNumberFormat="1" applyFont="1" applyAlignment="1">
      <alignment horizontal="center" vertical="center" wrapText="1"/>
    </xf>
    <xf numFmtId="0" fontId="45" fillId="0" borderId="0" xfId="0" applyFont="1"/>
    <xf numFmtId="0" fontId="54" fillId="0" borderId="0" xfId="0" applyFont="1"/>
    <xf numFmtId="0" fontId="55" fillId="0" borderId="0" xfId="0" applyFont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0" fontId="45" fillId="2" borderId="0" xfId="0" applyFont="1" applyFill="1" applyAlignment="1">
      <alignment wrapText="1"/>
    </xf>
    <xf numFmtId="0" fontId="12" fillId="2" borderId="0" xfId="0" applyFont="1" applyFill="1" applyAlignment="1">
      <alignment wrapText="1"/>
    </xf>
    <xf numFmtId="4" fontId="50" fillId="2" borderId="0" xfId="0" applyNumberFormat="1" applyFont="1" applyFill="1" applyAlignment="1">
      <alignment horizontal="center" vertical="center"/>
    </xf>
    <xf numFmtId="4" fontId="44" fillId="2" borderId="0" xfId="0" applyNumberFormat="1" applyFont="1" applyFill="1" applyAlignment="1">
      <alignment horizontal="left" wrapText="1"/>
    </xf>
    <xf numFmtId="0" fontId="52" fillId="2" borderId="0" xfId="0" applyFont="1" applyFill="1"/>
    <xf numFmtId="4" fontId="55" fillId="2" borderId="0" xfId="0" applyNumberFormat="1" applyFont="1" applyFill="1" applyAlignment="1">
      <alignment horizontal="center" wrapText="1"/>
    </xf>
    <xf numFmtId="0" fontId="56" fillId="2" borderId="0" xfId="0" applyFont="1" applyFill="1"/>
    <xf numFmtId="0" fontId="54" fillId="2" borderId="0" xfId="0" applyFont="1" applyFill="1"/>
    <xf numFmtId="0" fontId="56" fillId="2" borderId="0" xfId="0" applyFont="1" applyFill="1" applyAlignment="1">
      <alignment horizontal="left" vertical="center" wrapText="1"/>
    </xf>
    <xf numFmtId="4" fontId="12" fillId="2" borderId="0" xfId="0" applyNumberFormat="1" applyFont="1" applyFill="1"/>
    <xf numFmtId="0" fontId="80" fillId="2" borderId="0" xfId="0" applyFont="1" applyFill="1" applyAlignment="1">
      <alignment horizontal="center" vertical="center" wrapText="1"/>
    </xf>
    <xf numFmtId="0" fontId="49" fillId="2" borderId="0" xfId="0" applyFont="1" applyFill="1" applyAlignment="1">
      <alignment horizontal="center" vertical="center" wrapText="1"/>
    </xf>
    <xf numFmtId="0" fontId="44" fillId="2" borderId="0" xfId="0" applyFont="1" applyFill="1" applyAlignment="1">
      <alignment wrapText="1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5" fillId="0" borderId="0" xfId="0" applyFont="1" applyAlignment="1">
      <alignment wrapText="1"/>
    </xf>
    <xf numFmtId="0" fontId="51" fillId="34" borderId="0" xfId="0" applyFont="1" applyFill="1"/>
    <xf numFmtId="0" fontId="96" fillId="0" borderId="0" xfId="0" applyFont="1" applyAlignment="1">
      <alignment horizontal="left" vertical="center"/>
    </xf>
    <xf numFmtId="4" fontId="45" fillId="0" borderId="0" xfId="0" applyNumberFormat="1" applyFont="1" applyAlignment="1">
      <alignment horizontal="left"/>
    </xf>
    <xf numFmtId="0" fontId="99" fillId="0" borderId="0" xfId="0" applyFont="1"/>
    <xf numFmtId="0" fontId="88" fillId="0" borderId="0" xfId="0" applyFont="1" applyAlignment="1">
      <alignment horizontal="center" vertical="center" wrapText="1"/>
    </xf>
    <xf numFmtId="0" fontId="100" fillId="0" borderId="0" xfId="0" applyFont="1" applyAlignment="1">
      <alignment horizontal="center"/>
    </xf>
    <xf numFmtId="0" fontId="84" fillId="0" borderId="0" xfId="0" applyFont="1" applyAlignment="1">
      <alignment horizontal="left"/>
    </xf>
    <xf numFmtId="0" fontId="83" fillId="0" borderId="0" xfId="0" applyFont="1" applyAlignment="1">
      <alignment wrapText="1"/>
    </xf>
    <xf numFmtId="4" fontId="45" fillId="2" borderId="0" xfId="0" applyNumberFormat="1" applyFont="1" applyFill="1" applyAlignment="1">
      <alignment vertical="center"/>
    </xf>
    <xf numFmtId="4" fontId="44" fillId="2" borderId="0" xfId="0" applyNumberFormat="1" applyFont="1" applyFill="1" applyAlignment="1">
      <alignment horizontal="center" vertical="center" wrapText="1"/>
    </xf>
    <xf numFmtId="0" fontId="44" fillId="2" borderId="0" xfId="0" applyFont="1" applyFill="1" applyAlignment="1">
      <alignment horizontal="center" vertical="center" wrapText="1"/>
    </xf>
    <xf numFmtId="4" fontId="45" fillId="0" borderId="0" xfId="0" applyNumberFormat="1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0" fontId="88" fillId="34" borderId="0" xfId="0" applyFont="1" applyFill="1" applyAlignment="1">
      <alignment horizontal="center" vertical="center" wrapText="1"/>
    </xf>
    <xf numFmtId="4" fontId="89" fillId="2" borderId="0" xfId="0" applyNumberFormat="1" applyFont="1" applyFill="1" applyAlignment="1">
      <alignment horizontal="center" vertical="center"/>
    </xf>
    <xf numFmtId="4" fontId="90" fillId="2" borderId="0" xfId="0" applyNumberFormat="1" applyFont="1" applyFill="1" applyAlignment="1">
      <alignment horizontal="center" vertical="center" wrapText="1"/>
    </xf>
    <xf numFmtId="4" fontId="90" fillId="0" borderId="0" xfId="0" applyNumberFormat="1" applyFont="1" applyAlignment="1">
      <alignment horizontal="center" vertical="center" wrapText="1"/>
    </xf>
    <xf numFmtId="4" fontId="51" fillId="0" borderId="0" xfId="0" applyNumberFormat="1" applyFont="1"/>
    <xf numFmtId="0" fontId="83" fillId="0" borderId="18" xfId="0" applyFont="1" applyBorder="1" applyAlignment="1">
      <alignment horizontal="center" vertical="center" wrapText="1"/>
    </xf>
    <xf numFmtId="0" fontId="83" fillId="34" borderId="18" xfId="0" applyFont="1" applyFill="1" applyBorder="1" applyAlignment="1">
      <alignment horizontal="center" vertical="center" wrapText="1"/>
    </xf>
    <xf numFmtId="14" fontId="85" fillId="2" borderId="18" xfId="0" applyNumberFormat="1" applyFont="1" applyFill="1" applyBorder="1" applyAlignment="1">
      <alignment horizontal="center" vertical="center" wrapText="1"/>
    </xf>
    <xf numFmtId="4" fontId="83" fillId="2" borderId="18" xfId="0" applyNumberFormat="1" applyFont="1" applyFill="1" applyBorder="1" applyAlignment="1">
      <alignment horizontal="center" vertical="center" wrapText="1"/>
    </xf>
    <xf numFmtId="4" fontId="97" fillId="34" borderId="18" xfId="0" applyNumberFormat="1" applyFont="1" applyFill="1" applyBorder="1" applyAlignment="1">
      <alignment horizontal="center" vertical="center" wrapText="1"/>
    </xf>
    <xf numFmtId="0" fontId="84" fillId="2" borderId="18" xfId="0" applyFont="1" applyFill="1" applyBorder="1" applyAlignment="1">
      <alignment horizontal="center" vertical="center" wrapText="1"/>
    </xf>
    <xf numFmtId="49" fontId="83" fillId="2" borderId="18" xfId="0" applyNumberFormat="1" applyFont="1" applyFill="1" applyBorder="1" applyAlignment="1">
      <alignment horizontal="center" vertical="center" wrapText="1"/>
    </xf>
    <xf numFmtId="4" fontId="84" fillId="2" borderId="18" xfId="8342" applyNumberFormat="1" applyFont="1" applyFill="1" applyBorder="1" applyAlignment="1">
      <alignment horizontal="center" vertical="center" wrapText="1"/>
    </xf>
    <xf numFmtId="4" fontId="83" fillId="0" borderId="18" xfId="0" applyNumberFormat="1" applyFont="1" applyFill="1" applyBorder="1" applyAlignment="1">
      <alignment horizontal="center" vertical="center" wrapText="1"/>
    </xf>
    <xf numFmtId="4" fontId="84" fillId="0" borderId="18" xfId="8343" applyNumberFormat="1" applyFont="1" applyFill="1" applyBorder="1" applyAlignment="1">
      <alignment horizontal="center" vertical="center" wrapText="1"/>
    </xf>
    <xf numFmtId="4" fontId="84" fillId="0" borderId="18" xfId="8342" applyNumberFormat="1" applyFont="1" applyFill="1" applyBorder="1" applyAlignment="1">
      <alignment horizontal="center" vertical="center" wrapText="1"/>
    </xf>
    <xf numFmtId="4" fontId="87" fillId="0" borderId="18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81" fillId="2" borderId="0" xfId="0" applyFont="1" applyFill="1" applyAlignment="1">
      <alignment horizontal="center" wrapText="1"/>
    </xf>
    <xf numFmtId="0" fontId="81" fillId="2" borderId="0" xfId="0" applyFont="1" applyFill="1" applyAlignment="1">
      <alignment horizontal="center" vertical="center" wrapText="1"/>
    </xf>
    <xf numFmtId="0" fontId="55" fillId="0" borderId="0" xfId="0" applyFont="1" applyAlignment="1">
      <alignment horizontal="left" vertical="top" wrapText="1"/>
    </xf>
    <xf numFmtId="0" fontId="55" fillId="34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  <xf numFmtId="0" fontId="54" fillId="2" borderId="0" xfId="0" applyFont="1" applyFill="1" applyAlignment="1">
      <alignment horizontal="center" wrapText="1"/>
    </xf>
    <xf numFmtId="0" fontId="54" fillId="2" borderId="0" xfId="0" applyFont="1" applyFill="1" applyAlignment="1">
      <alignment horizontal="center" vertical="center" wrapText="1"/>
    </xf>
    <xf numFmtId="3" fontId="83" fillId="2" borderId="18" xfId="0" applyNumberFormat="1" applyFont="1" applyFill="1" applyBorder="1" applyAlignment="1">
      <alignment horizontal="center" vertical="center" wrapText="1"/>
    </xf>
    <xf numFmtId="0" fontId="83" fillId="2" borderId="18" xfId="0" applyFont="1" applyFill="1" applyBorder="1" applyAlignment="1">
      <alignment horizontal="center" vertical="center" wrapText="1"/>
    </xf>
    <xf numFmtId="0" fontId="83" fillId="0" borderId="18" xfId="0" applyFont="1" applyFill="1" applyBorder="1" applyAlignment="1">
      <alignment horizontal="center" vertical="center" wrapText="1"/>
    </xf>
    <xf numFmtId="0" fontId="88" fillId="0" borderId="18" xfId="0" applyFont="1" applyBorder="1" applyAlignment="1">
      <alignment horizontal="center" vertical="center" wrapText="1"/>
    </xf>
    <xf numFmtId="14" fontId="85" fillId="0" borderId="18" xfId="0" applyNumberFormat="1" applyFont="1" applyBorder="1" applyAlignment="1">
      <alignment horizontal="center" vertical="center" wrapText="1"/>
    </xf>
    <xf numFmtId="14" fontId="86" fillId="2" borderId="18" xfId="0" applyNumberFormat="1" applyFont="1" applyFill="1" applyBorder="1" applyAlignment="1">
      <alignment horizontal="center" vertical="center" wrapText="1"/>
    </xf>
    <xf numFmtId="14" fontId="85" fillId="0" borderId="18" xfId="0" applyNumberFormat="1" applyFont="1" applyFill="1" applyBorder="1" applyAlignment="1">
      <alignment horizontal="center" vertical="center" wrapText="1"/>
    </xf>
    <xf numFmtId="0" fontId="88" fillId="2" borderId="18" xfId="0" applyFont="1" applyFill="1" applyBorder="1" applyAlignment="1">
      <alignment horizontal="center" vertical="center" wrapText="1"/>
    </xf>
    <xf numFmtId="0" fontId="88" fillId="34" borderId="18" xfId="0" applyFont="1" applyFill="1" applyBorder="1" applyAlignment="1">
      <alignment horizontal="center" vertical="center" wrapText="1"/>
    </xf>
    <xf numFmtId="0" fontId="88" fillId="0" borderId="18" xfId="0" applyFont="1" applyFill="1" applyBorder="1" applyAlignment="1">
      <alignment horizontal="center" vertical="center" wrapText="1"/>
    </xf>
    <xf numFmtId="0" fontId="83" fillId="0" borderId="15" xfId="0" applyFont="1" applyBorder="1" applyAlignment="1">
      <alignment horizontal="center" vertical="center" wrapText="1"/>
    </xf>
    <xf numFmtId="0" fontId="88" fillId="0" borderId="16" xfId="0" applyFont="1" applyBorder="1" applyAlignment="1">
      <alignment horizontal="center" vertical="center" wrapText="1"/>
    </xf>
    <xf numFmtId="0" fontId="83" fillId="34" borderId="16" xfId="0" applyFont="1" applyFill="1" applyBorder="1" applyAlignment="1">
      <alignment horizontal="center" vertical="center" wrapText="1"/>
    </xf>
    <xf numFmtId="3" fontId="83" fillId="2" borderId="16" xfId="0" applyNumberFormat="1" applyFont="1" applyFill="1" applyBorder="1" applyAlignment="1">
      <alignment horizontal="center" vertical="center" wrapText="1"/>
    </xf>
    <xf numFmtId="0" fontId="83" fillId="0" borderId="16" xfId="0" applyFont="1" applyBorder="1" applyAlignment="1">
      <alignment horizontal="center" vertical="center" wrapText="1"/>
    </xf>
    <xf numFmtId="0" fontId="102" fillId="0" borderId="17" xfId="0" applyFont="1" applyBorder="1" applyAlignment="1">
      <alignment horizontal="center" vertical="center" wrapText="1"/>
    </xf>
    <xf numFmtId="0" fontId="83" fillId="2" borderId="16" xfId="0" applyFont="1" applyFill="1" applyBorder="1" applyAlignment="1">
      <alignment horizontal="center" vertical="center" wrapText="1"/>
    </xf>
    <xf numFmtId="0" fontId="83" fillId="0" borderId="16" xfId="0" applyFont="1" applyFill="1" applyBorder="1" applyAlignment="1">
      <alignment horizontal="center" vertical="center" wrapText="1"/>
    </xf>
    <xf numFmtId="4" fontId="102" fillId="0" borderId="19" xfId="0" applyNumberFormat="1" applyFont="1" applyBorder="1" applyAlignment="1">
      <alignment horizontal="center" vertical="center" wrapText="1"/>
    </xf>
    <xf numFmtId="0" fontId="88" fillId="0" borderId="20" xfId="0" applyFont="1" applyBorder="1" applyAlignment="1">
      <alignment horizontal="center" vertical="center" wrapText="1"/>
    </xf>
    <xf numFmtId="0" fontId="88" fillId="0" borderId="21" xfId="0" applyFont="1" applyBorder="1" applyAlignment="1">
      <alignment horizontal="center" vertical="center" wrapText="1"/>
    </xf>
    <xf numFmtId="0" fontId="83" fillId="0" borderId="20" xfId="0" applyFont="1" applyBorder="1" applyAlignment="1">
      <alignment horizontal="center" vertical="center" wrapText="1"/>
    </xf>
    <xf numFmtId="4" fontId="84" fillId="0" borderId="18" xfId="0" applyNumberFormat="1" applyFont="1" applyBorder="1" applyAlignment="1">
      <alignment horizontal="center" vertical="center" wrapText="1"/>
    </xf>
    <xf numFmtId="0" fontId="97" fillId="34" borderId="18" xfId="0" applyFont="1" applyFill="1" applyBorder="1" applyAlignment="1">
      <alignment horizontal="center" vertical="center" wrapText="1"/>
    </xf>
    <xf numFmtId="4" fontId="83" fillId="0" borderId="21" xfId="0" applyNumberFormat="1" applyFont="1" applyFill="1" applyBorder="1" applyAlignment="1">
      <alignment horizontal="center" vertical="center" wrapText="1"/>
    </xf>
    <xf numFmtId="4" fontId="84" fillId="2" borderId="18" xfId="0" applyNumberFormat="1" applyFont="1" applyFill="1" applyBorder="1" applyAlignment="1">
      <alignment horizontal="center" vertical="center" wrapText="1"/>
    </xf>
    <xf numFmtId="172" fontId="83" fillId="2" borderId="18" xfId="0" applyNumberFormat="1" applyFont="1" applyFill="1" applyBorder="1" applyAlignment="1">
      <alignment horizontal="center" vertical="center"/>
    </xf>
    <xf numFmtId="49" fontId="83" fillId="0" borderId="18" xfId="0" applyNumberFormat="1" applyFont="1" applyBorder="1" applyAlignment="1">
      <alignment horizontal="center" vertical="center" wrapText="1"/>
    </xf>
    <xf numFmtId="4" fontId="83" fillId="0" borderId="18" xfId="0" applyNumberFormat="1" applyFont="1" applyBorder="1" applyAlignment="1">
      <alignment horizontal="center" vertical="center" wrapText="1"/>
    </xf>
    <xf numFmtId="4" fontId="97" fillId="0" borderId="18" xfId="0" applyNumberFormat="1" applyFont="1" applyBorder="1" applyAlignment="1">
      <alignment horizontal="center" vertical="center" wrapText="1"/>
    </xf>
    <xf numFmtId="0" fontId="97" fillId="85" borderId="18" xfId="0" applyFont="1" applyFill="1" applyBorder="1" applyAlignment="1">
      <alignment horizontal="center" vertical="center" wrapText="1"/>
    </xf>
    <xf numFmtId="4" fontId="97" fillId="85" borderId="18" xfId="0" applyNumberFormat="1" applyFont="1" applyFill="1" applyBorder="1" applyAlignment="1">
      <alignment horizontal="center" vertical="center" wrapText="1"/>
    </xf>
    <xf numFmtId="4" fontId="82" fillId="2" borderId="18" xfId="0" applyNumberFormat="1" applyFont="1" applyFill="1" applyBorder="1" applyAlignment="1">
      <alignment horizontal="center" vertical="center" wrapText="1"/>
    </xf>
    <xf numFmtId="4" fontId="83" fillId="2" borderId="18" xfId="4" applyNumberFormat="1" applyFont="1" applyFill="1" applyBorder="1" applyAlignment="1">
      <alignment horizontal="center" vertical="center"/>
    </xf>
    <xf numFmtId="4" fontId="84" fillId="2" borderId="18" xfId="0" applyNumberFormat="1" applyFont="1" applyFill="1" applyBorder="1" applyAlignment="1">
      <alignment horizontal="center" vertical="center"/>
    </xf>
    <xf numFmtId="4" fontId="83" fillId="0" borderId="18" xfId="0" applyNumberFormat="1" applyFont="1" applyBorder="1" applyAlignment="1">
      <alignment horizontal="center" vertical="center"/>
    </xf>
    <xf numFmtId="4" fontId="83" fillId="2" borderId="18" xfId="0" applyNumberFormat="1" applyFont="1" applyFill="1" applyBorder="1" applyAlignment="1">
      <alignment horizontal="center" vertical="center"/>
    </xf>
    <xf numFmtId="4" fontId="87" fillId="0" borderId="21" xfId="0" applyNumberFormat="1" applyFont="1" applyFill="1" applyBorder="1" applyAlignment="1">
      <alignment horizontal="center" vertical="center" wrapText="1"/>
    </xf>
    <xf numFmtId="4" fontId="97" fillId="34" borderId="18" xfId="8342" applyNumberFormat="1" applyFont="1" applyFill="1" applyBorder="1" applyAlignment="1">
      <alignment horizontal="center" vertical="center" wrapText="1"/>
    </xf>
    <xf numFmtId="4" fontId="82" fillId="2" borderId="18" xfId="1" applyNumberFormat="1" applyFont="1" applyFill="1" applyBorder="1" applyAlignment="1">
      <alignment horizontal="center" vertical="center"/>
    </xf>
    <xf numFmtId="49" fontId="84" fillId="2" borderId="18" xfId="0" applyNumberFormat="1" applyFont="1" applyFill="1" applyBorder="1" applyAlignment="1">
      <alignment horizontal="center" vertical="center" wrapText="1"/>
    </xf>
    <xf numFmtId="4" fontId="84" fillId="0" borderId="18" xfId="0" applyNumberFormat="1" applyFont="1" applyFill="1" applyBorder="1" applyAlignment="1">
      <alignment horizontal="center" vertical="center" wrapText="1"/>
    </xf>
    <xf numFmtId="49" fontId="83" fillId="0" borderId="18" xfId="0" applyNumberFormat="1" applyFont="1" applyFill="1" applyBorder="1" applyAlignment="1">
      <alignment horizontal="center" vertical="center" wrapText="1"/>
    </xf>
    <xf numFmtId="4" fontId="97" fillId="0" borderId="18" xfId="0" applyNumberFormat="1" applyFont="1" applyFill="1" applyBorder="1" applyAlignment="1">
      <alignment horizontal="center" vertical="center" wrapText="1"/>
    </xf>
    <xf numFmtId="4" fontId="97" fillId="86" borderId="18" xfId="0" applyNumberFormat="1" applyFont="1" applyFill="1" applyBorder="1" applyAlignment="1">
      <alignment horizontal="center" vertical="center" wrapText="1"/>
    </xf>
    <xf numFmtId="4" fontId="84" fillId="2" borderId="18" xfId="5" applyNumberFormat="1" applyFont="1" applyFill="1" applyBorder="1" applyAlignment="1">
      <alignment horizontal="center" vertical="center"/>
    </xf>
    <xf numFmtId="4" fontId="82" fillId="0" borderId="18" xfId="0" applyNumberFormat="1" applyFont="1" applyBorder="1" applyAlignment="1">
      <alignment horizontal="center" vertical="center" wrapText="1"/>
    </xf>
    <xf numFmtId="4" fontId="82" fillId="2" borderId="18" xfId="1" applyNumberFormat="1" applyFont="1" applyFill="1" applyBorder="1" applyAlignment="1">
      <alignment horizontal="center" vertical="center" wrapText="1"/>
    </xf>
    <xf numFmtId="0" fontId="83" fillId="85" borderId="18" xfId="0" applyFont="1" applyFill="1" applyBorder="1" applyAlignment="1">
      <alignment horizontal="center" vertical="center" wrapText="1"/>
    </xf>
    <xf numFmtId="4" fontId="82" fillId="2" borderId="18" xfId="3" applyNumberFormat="1" applyFont="1" applyFill="1" applyBorder="1" applyAlignment="1">
      <alignment horizontal="center" vertical="center" wrapText="1"/>
    </xf>
    <xf numFmtId="172" fontId="83" fillId="0" borderId="18" xfId="0" applyNumberFormat="1" applyFont="1" applyBorder="1" applyAlignment="1">
      <alignment horizontal="center" vertical="center"/>
    </xf>
    <xf numFmtId="0" fontId="88" fillId="0" borderId="22" xfId="0" applyFont="1" applyBorder="1" applyAlignment="1">
      <alignment horizontal="center" vertical="center" wrapText="1"/>
    </xf>
    <xf numFmtId="0" fontId="88" fillId="0" borderId="23" xfId="0" applyFont="1" applyBorder="1" applyAlignment="1">
      <alignment horizontal="center" vertical="center" wrapText="1"/>
    </xf>
    <xf numFmtId="4" fontId="89" fillId="2" borderId="23" xfId="0" applyNumberFormat="1" applyFont="1" applyFill="1" applyBorder="1" applyAlignment="1">
      <alignment horizontal="center" vertical="center"/>
    </xf>
    <xf numFmtId="4" fontId="90" fillId="2" borderId="23" xfId="0" applyNumberFormat="1" applyFont="1" applyFill="1" applyBorder="1" applyAlignment="1">
      <alignment horizontal="center" vertical="center" wrapText="1"/>
    </xf>
    <xf numFmtId="4" fontId="90" fillId="0" borderId="23" xfId="0" applyNumberFormat="1" applyFont="1" applyBorder="1" applyAlignment="1">
      <alignment horizontal="center" vertical="center" wrapText="1"/>
    </xf>
    <xf numFmtId="4" fontId="90" fillId="0" borderId="24" xfId="0" applyNumberFormat="1" applyFont="1" applyBorder="1" applyAlignment="1">
      <alignment horizontal="center" vertical="center" wrapText="1"/>
    </xf>
  </cellXfs>
  <cellStyles count="8344">
    <cellStyle name="20% — акцент1" xfId="28" builtinId="30" customBuiltin="1"/>
    <cellStyle name="20% — акцент1 10" xfId="4445"/>
    <cellStyle name="20% — акцент1 11" xfId="5191"/>
    <cellStyle name="20% — акцент1 2" xfId="140"/>
    <cellStyle name="20% — акцент1 2 2" xfId="243"/>
    <cellStyle name="20% — акцент1 2 2 2" xfId="5967"/>
    <cellStyle name="20% — акцент1 2 3" xfId="1120"/>
    <cellStyle name="20% — акцент1 2 4" xfId="2226"/>
    <cellStyle name="20% — акцент1 2 4 2" xfId="7408"/>
    <cellStyle name="20% — акцент1 2 5" xfId="2975"/>
    <cellStyle name="20% — акцент1 2 6" xfId="3716"/>
    <cellStyle name="20% — акцент1 2 7" xfId="4457"/>
    <cellStyle name="20% — акцент1 2 8" xfId="5203"/>
    <cellStyle name="20% — акцент1 3" xfId="244"/>
    <cellStyle name="20% — акцент1 3 2" xfId="1121"/>
    <cellStyle name="20% — акцент1 3 2 2" xfId="5968"/>
    <cellStyle name="20% — акцент1 3 3" xfId="2227"/>
    <cellStyle name="20% — акцент1 3 3 2" xfId="7274"/>
    <cellStyle name="20% — акцент1 3 4" xfId="2976"/>
    <cellStyle name="20% — акцент1 3 4 2" xfId="7410"/>
    <cellStyle name="20% — акцент1 3 5" xfId="3717"/>
    <cellStyle name="20% — акцент1 3 6" xfId="4458"/>
    <cellStyle name="20% — акцент1 3 7" xfId="5204"/>
    <cellStyle name="20% — акцент1 4" xfId="245"/>
    <cellStyle name="20% — акцент1 4 2" xfId="1122"/>
    <cellStyle name="20% — акцент1 4 2 2" xfId="5969"/>
    <cellStyle name="20% — акцент1 4 3" xfId="2228"/>
    <cellStyle name="20% — акцент1 4 3 2" xfId="6376"/>
    <cellStyle name="20% — акцент1 4 4" xfId="2977"/>
    <cellStyle name="20% — акцент1 4 4 2" xfId="7413"/>
    <cellStyle name="20% — акцент1 4 5" xfId="3718"/>
    <cellStyle name="20% — акцент1 4 6" xfId="4459"/>
    <cellStyle name="20% — акцент1 4 7" xfId="5205"/>
    <cellStyle name="20% — акцент1 5" xfId="242"/>
    <cellStyle name="20% — акцент1 5 2" xfId="1123"/>
    <cellStyle name="20% — акцент1 5 2 2" xfId="6776"/>
    <cellStyle name="20% — акцент1 5 3" xfId="2864"/>
    <cellStyle name="20% — акцент1 5 3 2" xfId="6380"/>
    <cellStyle name="20% — акцент1 5 4" xfId="3607"/>
    <cellStyle name="20% — акцент1 5 4 2" xfId="7416"/>
    <cellStyle name="20% — акцент1 5 5" xfId="4348"/>
    <cellStyle name="20% — акцент1 5 6" xfId="5089"/>
    <cellStyle name="20% — акцент1 5 7" xfId="5830"/>
    <cellStyle name="20% — акцент1 6" xfId="1124"/>
    <cellStyle name="20% — акцент1 6 2" xfId="2942"/>
    <cellStyle name="20% — акцент1 6 2 2" xfId="6854"/>
    <cellStyle name="20% — акцент1 6 3" xfId="3683"/>
    <cellStyle name="20% — акцент1 6 3 2" xfId="7168"/>
    <cellStyle name="20% — акцент1 6 4" xfId="4424"/>
    <cellStyle name="20% — акцент1 6 4 2" xfId="7396"/>
    <cellStyle name="20% — акцент1 6 5" xfId="5165"/>
    <cellStyle name="20% — акцент1 6 6" xfId="5906"/>
    <cellStyle name="20% — акцент1 7" xfId="2214"/>
    <cellStyle name="20% — акцент1 7 2" xfId="5952"/>
    <cellStyle name="20% — акцент1 8" xfId="2963"/>
    <cellStyle name="20% — акцент1 9" xfId="3704"/>
    <cellStyle name="20% — акцент2" xfId="31" builtinId="34" customBuiltin="1"/>
    <cellStyle name="20% — акцент2 10" xfId="4447"/>
    <cellStyle name="20% — акцент2 11" xfId="5193"/>
    <cellStyle name="20% — акцент2 2" xfId="141"/>
    <cellStyle name="20% — акцент2 2 2" xfId="247"/>
    <cellStyle name="20% — акцент2 2 2 2" xfId="5970"/>
    <cellStyle name="20% — акцент2 2 3" xfId="1125"/>
    <cellStyle name="20% — акцент2 2 4" xfId="2229"/>
    <cellStyle name="20% — акцент2 2 4 2" xfId="7397"/>
    <cellStyle name="20% — акцент2 2 5" xfId="2978"/>
    <cellStyle name="20% — акцент2 2 6" xfId="3719"/>
    <cellStyle name="20% — акцент2 2 7" xfId="4460"/>
    <cellStyle name="20% — акцент2 2 8" xfId="5206"/>
    <cellStyle name="20% — акцент2 3" xfId="248"/>
    <cellStyle name="20% — акцент2 3 2" xfId="1126"/>
    <cellStyle name="20% — акцент2 3 2 2" xfId="5971"/>
    <cellStyle name="20% — акцент2 3 3" xfId="2230"/>
    <cellStyle name="20% — акцент2 3 3 2" xfId="6742"/>
    <cellStyle name="20% — акцент2 3 4" xfId="2979"/>
    <cellStyle name="20% — акцент2 3 4 2" xfId="7398"/>
    <cellStyle name="20% — акцент2 3 5" xfId="3720"/>
    <cellStyle name="20% — акцент2 3 6" xfId="4461"/>
    <cellStyle name="20% — акцент2 3 7" xfId="5207"/>
    <cellStyle name="20% — акцент2 4" xfId="249"/>
    <cellStyle name="20% — акцент2 4 2" xfId="1127"/>
    <cellStyle name="20% — акцент2 4 2 2" xfId="5972"/>
    <cellStyle name="20% — акцент2 4 3" xfId="2231"/>
    <cellStyle name="20% — акцент2 4 3 2" xfId="7245"/>
    <cellStyle name="20% — акцент2 4 4" xfId="2980"/>
    <cellStyle name="20% — акцент2 4 4 2" xfId="7449"/>
    <cellStyle name="20% — акцент2 4 5" xfId="3721"/>
    <cellStyle name="20% — акцент2 4 6" xfId="4462"/>
    <cellStyle name="20% — акцент2 4 7" xfId="5208"/>
    <cellStyle name="20% — акцент2 5" xfId="246"/>
    <cellStyle name="20% — акцент2 5 2" xfId="1128"/>
    <cellStyle name="20% — акцент2 5 2 2" xfId="6778"/>
    <cellStyle name="20% — акцент2 5 3" xfId="2866"/>
    <cellStyle name="20% — акцент2 5 3 2" xfId="7174"/>
    <cellStyle name="20% — акцент2 5 4" xfId="3609"/>
    <cellStyle name="20% — акцент2 5 4 2" xfId="7361"/>
    <cellStyle name="20% — акцент2 5 5" xfId="4350"/>
    <cellStyle name="20% — акцент2 5 6" xfId="5091"/>
    <cellStyle name="20% — акцент2 5 7" xfId="5832"/>
    <cellStyle name="20% — акцент2 6" xfId="1129"/>
    <cellStyle name="20% — акцент2 6 2" xfId="2944"/>
    <cellStyle name="20% — акцент2 6 2 2" xfId="6856"/>
    <cellStyle name="20% — акцент2 6 3" xfId="3685"/>
    <cellStyle name="20% — акцент2 6 3 2" xfId="6385"/>
    <cellStyle name="20% — акцент2 6 4" xfId="4426"/>
    <cellStyle name="20% — акцент2 6 4 2" xfId="7373"/>
    <cellStyle name="20% — акцент2 6 5" xfId="5167"/>
    <cellStyle name="20% — акцент2 6 6" xfId="5908"/>
    <cellStyle name="20% — акцент2 7" xfId="2216"/>
    <cellStyle name="20% — акцент2 7 2" xfId="5955"/>
    <cellStyle name="20% — акцент2 8" xfId="2965"/>
    <cellStyle name="20% — акцент2 9" xfId="3706"/>
    <cellStyle name="20% — акцент3" xfId="34" builtinId="38" customBuiltin="1"/>
    <cellStyle name="20% — акцент3 10" xfId="4449"/>
    <cellStyle name="20% — акцент3 11" xfId="5195"/>
    <cellStyle name="20% — акцент3 2" xfId="142"/>
    <cellStyle name="20% — акцент3 2 2" xfId="251"/>
    <cellStyle name="20% — акцент3 2 2 2" xfId="5973"/>
    <cellStyle name="20% — акцент3 2 3" xfId="1130"/>
    <cellStyle name="20% — акцент3 2 4" xfId="2232"/>
    <cellStyle name="20% — акцент3 2 4 2" xfId="7457"/>
    <cellStyle name="20% — акцент3 2 5" xfId="2981"/>
    <cellStyle name="20% — акцент3 2 6" xfId="3722"/>
    <cellStyle name="20% — акцент3 2 7" xfId="4463"/>
    <cellStyle name="20% — акцент3 2 8" xfId="5209"/>
    <cellStyle name="20% — акцент3 3" xfId="252"/>
    <cellStyle name="20% — акцент3 3 2" xfId="1131"/>
    <cellStyle name="20% — акцент3 3 2 2" xfId="5974"/>
    <cellStyle name="20% — акцент3 3 3" xfId="2233"/>
    <cellStyle name="20% — акцент3 3 3 2" xfId="7293"/>
    <cellStyle name="20% — акцент3 3 4" xfId="2982"/>
    <cellStyle name="20% — акцент3 3 4 2" xfId="7378"/>
    <cellStyle name="20% — акцент3 3 5" xfId="3723"/>
    <cellStyle name="20% — акцент3 3 6" xfId="4464"/>
    <cellStyle name="20% — акцент3 3 7" xfId="5210"/>
    <cellStyle name="20% — акцент3 4" xfId="253"/>
    <cellStyle name="20% — акцент3 4 2" xfId="1132"/>
    <cellStyle name="20% — акцент3 4 2 2" xfId="5975"/>
    <cellStyle name="20% — акцент3 4 3" xfId="2234"/>
    <cellStyle name="20% — акцент3 4 3 2" xfId="7226"/>
    <cellStyle name="20% — акцент3 4 4" xfId="2983"/>
    <cellStyle name="20% — акцент3 4 4 2" xfId="7458"/>
    <cellStyle name="20% — акцент3 4 5" xfId="3724"/>
    <cellStyle name="20% — акцент3 4 6" xfId="4465"/>
    <cellStyle name="20% — акцент3 4 7" xfId="5211"/>
    <cellStyle name="20% — акцент3 5" xfId="250"/>
    <cellStyle name="20% — акцент3 5 2" xfId="1133"/>
    <cellStyle name="20% — акцент3 5 2 2" xfId="6780"/>
    <cellStyle name="20% — акцент3 5 3" xfId="2868"/>
    <cellStyle name="20% — акцент3 5 3 2" xfId="7231"/>
    <cellStyle name="20% — акцент3 5 4" xfId="3611"/>
    <cellStyle name="20% — акцент3 5 4 2" xfId="7390"/>
    <cellStyle name="20% — акцент3 5 5" xfId="4352"/>
    <cellStyle name="20% — акцент3 5 6" xfId="5093"/>
    <cellStyle name="20% — акцент3 5 7" xfId="5834"/>
    <cellStyle name="20% — акцент3 6" xfId="1134"/>
    <cellStyle name="20% — акцент3 6 2" xfId="2938"/>
    <cellStyle name="20% — акцент3 6 2 2" xfId="6850"/>
    <cellStyle name="20% — акцент3 6 3" xfId="3679"/>
    <cellStyle name="20% — акцент3 6 3 2" xfId="7218"/>
    <cellStyle name="20% — акцент3 6 4" xfId="4420"/>
    <cellStyle name="20% — акцент3 6 4 2" xfId="7391"/>
    <cellStyle name="20% — акцент3 6 5" xfId="5161"/>
    <cellStyle name="20% — акцент3 6 6" xfId="5902"/>
    <cellStyle name="20% — акцент3 7" xfId="2218"/>
    <cellStyle name="20% — акцент3 7 2" xfId="5958"/>
    <cellStyle name="20% — акцент3 8" xfId="2967"/>
    <cellStyle name="20% — акцент3 9" xfId="3708"/>
    <cellStyle name="20% — акцент4" xfId="37" builtinId="42" customBuiltin="1"/>
    <cellStyle name="20% — акцент4 10" xfId="4451"/>
    <cellStyle name="20% — акцент4 11" xfId="5197"/>
    <cellStyle name="20% — акцент4 2" xfId="144"/>
    <cellStyle name="20% — акцент4 2 2" xfId="255"/>
    <cellStyle name="20% — акцент4 2 2 2" xfId="5976"/>
    <cellStyle name="20% — акцент4 2 3" xfId="1135"/>
    <cellStyle name="20% — акцент4 2 4" xfId="2235"/>
    <cellStyle name="20% — акцент4 2 4 2" xfId="7392"/>
    <cellStyle name="20% — акцент4 2 5" xfId="2984"/>
    <cellStyle name="20% — акцент4 2 6" xfId="3725"/>
    <cellStyle name="20% — акцент4 2 7" xfId="4466"/>
    <cellStyle name="20% — акцент4 2 8" xfId="5212"/>
    <cellStyle name="20% — акцент4 3" xfId="256"/>
    <cellStyle name="20% — акцент4 3 2" xfId="1136"/>
    <cellStyle name="20% — акцент4 3 2 2" xfId="5977"/>
    <cellStyle name="20% — акцент4 3 3" xfId="2236"/>
    <cellStyle name="20% — акцент4 3 3 2" xfId="7306"/>
    <cellStyle name="20% — акцент4 3 4" xfId="2985"/>
    <cellStyle name="20% — акцент4 3 4 2" xfId="7393"/>
    <cellStyle name="20% — акцент4 3 5" xfId="3726"/>
    <cellStyle name="20% — акцент4 3 6" xfId="4467"/>
    <cellStyle name="20% — акцент4 3 7" xfId="5213"/>
    <cellStyle name="20% — акцент4 4" xfId="257"/>
    <cellStyle name="20% — акцент4 4 2" xfId="1137"/>
    <cellStyle name="20% — акцент4 4 2 2" xfId="5978"/>
    <cellStyle name="20% — акцент4 4 3" xfId="2237"/>
    <cellStyle name="20% — акцент4 4 3 2" xfId="7303"/>
    <cellStyle name="20% — акцент4 4 4" xfId="2986"/>
    <cellStyle name="20% — акцент4 4 4 2" xfId="7403"/>
    <cellStyle name="20% — акцент4 4 5" xfId="3727"/>
    <cellStyle name="20% — акцент4 4 6" xfId="4468"/>
    <cellStyle name="20% — акцент4 4 7" xfId="5214"/>
    <cellStyle name="20% — акцент4 5" xfId="254"/>
    <cellStyle name="20% — акцент4 5 2" xfId="1138"/>
    <cellStyle name="20% — акцент4 5 2 2" xfId="6782"/>
    <cellStyle name="20% — акцент4 5 3" xfId="2870"/>
    <cellStyle name="20% — акцент4 5 3 2" xfId="7175"/>
    <cellStyle name="20% — акцент4 5 4" xfId="3613"/>
    <cellStyle name="20% — акцент4 5 4 2" xfId="7400"/>
    <cellStyle name="20% — акцент4 5 5" xfId="4354"/>
    <cellStyle name="20% — акцент4 5 6" xfId="5095"/>
    <cellStyle name="20% — акцент4 5 7" xfId="5836"/>
    <cellStyle name="20% — акцент4 6" xfId="1139"/>
    <cellStyle name="20% — акцент4 6 2" xfId="2943"/>
    <cellStyle name="20% — акцент4 6 2 2" xfId="6855"/>
    <cellStyle name="20% — акцент4 6 3" xfId="3684"/>
    <cellStyle name="20% — акцент4 6 3 2" xfId="7305"/>
    <cellStyle name="20% — акцент4 6 4" xfId="4425"/>
    <cellStyle name="20% — акцент4 6 4 2" xfId="7389"/>
    <cellStyle name="20% — акцент4 6 5" xfId="5166"/>
    <cellStyle name="20% — акцент4 6 6" xfId="5907"/>
    <cellStyle name="20% — акцент4 7" xfId="2220"/>
    <cellStyle name="20% — акцент4 7 2" xfId="5960"/>
    <cellStyle name="20% — акцент4 8" xfId="2969"/>
    <cellStyle name="20% — акцент4 9" xfId="3710"/>
    <cellStyle name="20% — акцент5" xfId="40" builtinId="46" customBuiltin="1"/>
    <cellStyle name="20% — акцент5 10" xfId="4453"/>
    <cellStyle name="20% — акцент5 11" xfId="5199"/>
    <cellStyle name="20% — акцент5 2" xfId="146"/>
    <cellStyle name="20% — акцент5 2 2" xfId="259"/>
    <cellStyle name="20% — акцент5 2 2 2" xfId="5979"/>
    <cellStyle name="20% — акцент5 2 3" xfId="1140"/>
    <cellStyle name="20% — акцент5 2 4" xfId="2238"/>
    <cellStyle name="20% — акцент5 2 4 2" xfId="7459"/>
    <cellStyle name="20% — акцент5 2 5" xfId="2987"/>
    <cellStyle name="20% — акцент5 2 6" xfId="3728"/>
    <cellStyle name="20% — акцент5 2 7" xfId="4469"/>
    <cellStyle name="20% — акцент5 2 8" xfId="5215"/>
    <cellStyle name="20% — акцент5 3" xfId="260"/>
    <cellStyle name="20% — акцент5 3 2" xfId="1141"/>
    <cellStyle name="20% — акцент5 3 2 2" xfId="5980"/>
    <cellStyle name="20% — акцент5 3 3" xfId="2239"/>
    <cellStyle name="20% — акцент5 3 3 2" xfId="7173"/>
    <cellStyle name="20% — акцент5 3 4" xfId="2988"/>
    <cellStyle name="20% — акцент5 3 4 2" xfId="8251"/>
    <cellStyle name="20% — акцент5 3 5" xfId="3729"/>
    <cellStyle name="20% — акцент5 3 6" xfId="4470"/>
    <cellStyle name="20% — акцент5 3 7" xfId="5216"/>
    <cellStyle name="20% — акцент5 4" xfId="261"/>
    <cellStyle name="20% — акцент5 4 2" xfId="1142"/>
    <cellStyle name="20% — акцент5 4 2 2" xfId="5981"/>
    <cellStyle name="20% — акцент5 4 3" xfId="2240"/>
    <cellStyle name="20% — акцент5 4 3 2" xfId="7176"/>
    <cellStyle name="20% — акцент5 4 4" xfId="2989"/>
    <cellStyle name="20% — акцент5 4 4 2" xfId="7360"/>
    <cellStyle name="20% — акцент5 4 5" xfId="3730"/>
    <cellStyle name="20% — акцент5 4 6" xfId="4471"/>
    <cellStyle name="20% — акцент5 4 7" xfId="5217"/>
    <cellStyle name="20% — акцент5 5" xfId="258"/>
    <cellStyle name="20% — акцент5 5 2" xfId="1143"/>
    <cellStyle name="20% — акцент5 5 2 2" xfId="6784"/>
    <cellStyle name="20% — акцент5 5 3" xfId="2872"/>
    <cellStyle name="20% — акцент5 5 3 2" xfId="7240"/>
    <cellStyle name="20% — акцент5 5 4" xfId="3615"/>
    <cellStyle name="20% — акцент5 5 4 2" xfId="7381"/>
    <cellStyle name="20% — акцент5 5 5" xfId="4356"/>
    <cellStyle name="20% — акцент5 5 6" xfId="5097"/>
    <cellStyle name="20% — акцент5 5 7" xfId="5838"/>
    <cellStyle name="20% — акцент5 6" xfId="1144"/>
    <cellStyle name="20% — акцент5 6 2" xfId="2947"/>
    <cellStyle name="20% — акцент5 6 2 2" xfId="6859"/>
    <cellStyle name="20% — акцент5 6 3" xfId="3688"/>
    <cellStyle name="20% — акцент5 6 3 2" xfId="6541"/>
    <cellStyle name="20% — акцент5 6 4" xfId="4429"/>
    <cellStyle name="20% — акцент5 6 4 2" xfId="7461"/>
    <cellStyle name="20% — акцент5 6 5" xfId="5170"/>
    <cellStyle name="20% — акцент5 6 6" xfId="5911"/>
    <cellStyle name="20% — акцент5 7" xfId="2222"/>
    <cellStyle name="20% — акцент5 7 2" xfId="5963"/>
    <cellStyle name="20% — акцент5 8" xfId="2971"/>
    <cellStyle name="20% — акцент5 9" xfId="3712"/>
    <cellStyle name="20% — акцент6" xfId="43" builtinId="50" customBuiltin="1"/>
    <cellStyle name="20% — акцент6 10" xfId="4455"/>
    <cellStyle name="20% — акцент6 11" xfId="5201"/>
    <cellStyle name="20% — акцент6 2" xfId="148"/>
    <cellStyle name="20% — акцент6 2 2" xfId="263"/>
    <cellStyle name="20% — акцент6 2 2 2" xfId="5982"/>
    <cellStyle name="20% — акцент6 2 3" xfId="1145"/>
    <cellStyle name="20% — акцент6 2 4" xfId="2241"/>
    <cellStyle name="20% — акцент6 2 4 2" xfId="7462"/>
    <cellStyle name="20% — акцент6 2 5" xfId="2990"/>
    <cellStyle name="20% — акцент6 2 6" xfId="3731"/>
    <cellStyle name="20% — акцент6 2 7" xfId="4472"/>
    <cellStyle name="20% — акцент6 2 8" xfId="5218"/>
    <cellStyle name="20% — акцент6 3" xfId="264"/>
    <cellStyle name="20% — акцент6 3 2" xfId="1146"/>
    <cellStyle name="20% — акцент6 3 2 2" xfId="5983"/>
    <cellStyle name="20% — акцент6 3 3" xfId="2242"/>
    <cellStyle name="20% — акцент6 3 3 2" xfId="7221"/>
    <cellStyle name="20% — акцент6 3 4" xfId="2991"/>
    <cellStyle name="20% — акцент6 3 4 2" xfId="7463"/>
    <cellStyle name="20% — акцент6 3 5" xfId="3732"/>
    <cellStyle name="20% — акцент6 3 6" xfId="4473"/>
    <cellStyle name="20% — акцент6 3 7" xfId="5219"/>
    <cellStyle name="20% — акцент6 4" xfId="265"/>
    <cellStyle name="20% — акцент6 4 2" xfId="1147"/>
    <cellStyle name="20% — акцент6 4 2 2" xfId="5984"/>
    <cellStyle name="20% — акцент6 4 3" xfId="2243"/>
    <cellStyle name="20% — акцент6 4 3 2" xfId="7146"/>
    <cellStyle name="20% — акцент6 4 4" xfId="2992"/>
    <cellStyle name="20% — акцент6 4 4 2" xfId="7464"/>
    <cellStyle name="20% — акцент6 4 5" xfId="3733"/>
    <cellStyle name="20% — акцент6 4 6" xfId="4474"/>
    <cellStyle name="20% — акцент6 4 7" xfId="5220"/>
    <cellStyle name="20% — акцент6 5" xfId="262"/>
    <cellStyle name="20% — акцент6 5 2" xfId="1148"/>
    <cellStyle name="20% — акцент6 5 2 2" xfId="6786"/>
    <cellStyle name="20% — акцент6 5 3" xfId="2874"/>
    <cellStyle name="20% — акцент6 5 3 2" xfId="7341"/>
    <cellStyle name="20% — акцент6 5 4" xfId="3617"/>
    <cellStyle name="20% — акцент6 5 4 2" xfId="7465"/>
    <cellStyle name="20% — акцент6 5 5" xfId="4358"/>
    <cellStyle name="20% — акцент6 5 6" xfId="5099"/>
    <cellStyle name="20% — акцент6 5 7" xfId="5840"/>
    <cellStyle name="20% — акцент6 6" xfId="1149"/>
    <cellStyle name="20% — акцент6 6 2" xfId="2949"/>
    <cellStyle name="20% — акцент6 6 2 2" xfId="6861"/>
    <cellStyle name="20% — акцент6 6 3" xfId="3690"/>
    <cellStyle name="20% — акцент6 6 3 2" xfId="7145"/>
    <cellStyle name="20% — акцент6 6 4" xfId="4431"/>
    <cellStyle name="20% — акцент6 6 4 2" xfId="7466"/>
    <cellStyle name="20% — акцент6 6 5" xfId="5172"/>
    <cellStyle name="20% — акцент6 6 6" xfId="5913"/>
    <cellStyle name="20% — акцент6 7" xfId="2224"/>
    <cellStyle name="20% — акцент6 7 2" xfId="5965"/>
    <cellStyle name="20% — акцент6 8" xfId="2973"/>
    <cellStyle name="20% — акцент6 9" xfId="3714"/>
    <cellStyle name="40% — акцент1" xfId="29" builtinId="31" customBuiltin="1"/>
    <cellStyle name="40% — акцент1 10" xfId="4446"/>
    <cellStyle name="40% — акцент1 11" xfId="5192"/>
    <cellStyle name="40% — акцент1 2" xfId="143"/>
    <cellStyle name="40% — акцент1 2 2" xfId="267"/>
    <cellStyle name="40% — акцент1 2 2 2" xfId="5985"/>
    <cellStyle name="40% — акцент1 2 3" xfId="1150"/>
    <cellStyle name="40% — акцент1 2 4" xfId="2244"/>
    <cellStyle name="40% — акцент1 2 4 2" xfId="7467"/>
    <cellStyle name="40% — акцент1 2 5" xfId="2993"/>
    <cellStyle name="40% — акцент1 2 6" xfId="3734"/>
    <cellStyle name="40% — акцент1 2 7" xfId="4475"/>
    <cellStyle name="40% — акцент1 2 8" xfId="5221"/>
    <cellStyle name="40% — акцент1 3" xfId="268"/>
    <cellStyle name="40% — акцент1 3 2" xfId="1151"/>
    <cellStyle name="40% — акцент1 3 2 2" xfId="5986"/>
    <cellStyle name="40% — акцент1 3 3" xfId="2245"/>
    <cellStyle name="40% — акцент1 3 3 2" xfId="7284"/>
    <cellStyle name="40% — акцент1 3 4" xfId="2994"/>
    <cellStyle name="40% — акцент1 3 4 2" xfId="7468"/>
    <cellStyle name="40% — акцент1 3 5" xfId="3735"/>
    <cellStyle name="40% — акцент1 3 6" xfId="4476"/>
    <cellStyle name="40% — акцент1 3 7" xfId="5222"/>
    <cellStyle name="40% — акцент1 4" xfId="269"/>
    <cellStyle name="40% — акцент1 4 2" xfId="1152"/>
    <cellStyle name="40% — акцент1 4 2 2" xfId="5987"/>
    <cellStyle name="40% — акцент1 4 3" xfId="2246"/>
    <cellStyle name="40% — акцент1 4 3 2" xfId="6556"/>
    <cellStyle name="40% — акцент1 4 4" xfId="2995"/>
    <cellStyle name="40% — акцент1 4 4 2" xfId="7469"/>
    <cellStyle name="40% — акцент1 4 5" xfId="3736"/>
    <cellStyle name="40% — акцент1 4 6" xfId="4477"/>
    <cellStyle name="40% — акцент1 4 7" xfId="5223"/>
    <cellStyle name="40% — акцент1 5" xfId="266"/>
    <cellStyle name="40% — акцент1 5 2" xfId="1153"/>
    <cellStyle name="40% — акцент1 5 2 2" xfId="6777"/>
    <cellStyle name="40% — акцент1 5 3" xfId="2865"/>
    <cellStyle name="40% — акцент1 5 3 2" xfId="6557"/>
    <cellStyle name="40% — акцент1 5 4" xfId="3608"/>
    <cellStyle name="40% — акцент1 5 4 2" xfId="7470"/>
    <cellStyle name="40% — акцент1 5 5" xfId="4349"/>
    <cellStyle name="40% — акцент1 5 6" xfId="5090"/>
    <cellStyle name="40% — акцент1 5 7" xfId="5831"/>
    <cellStyle name="40% — акцент1 6" xfId="1154"/>
    <cellStyle name="40% — акцент1 6 2" xfId="2939"/>
    <cellStyle name="40% — акцент1 6 2 2" xfId="6851"/>
    <cellStyle name="40% — акцент1 6 3" xfId="3680"/>
    <cellStyle name="40% — акцент1 6 3 2" xfId="7144"/>
    <cellStyle name="40% — акцент1 6 4" xfId="4421"/>
    <cellStyle name="40% — акцент1 6 4 2" xfId="7471"/>
    <cellStyle name="40% — акцент1 6 5" xfId="5162"/>
    <cellStyle name="40% — акцент1 6 6" xfId="5903"/>
    <cellStyle name="40% — акцент1 7" xfId="2215"/>
    <cellStyle name="40% — акцент1 7 2" xfId="5953"/>
    <cellStyle name="40% — акцент1 8" xfId="2964"/>
    <cellStyle name="40% — акцент1 9" xfId="3705"/>
    <cellStyle name="40% — акцент2" xfId="32" builtinId="35" customBuiltin="1"/>
    <cellStyle name="40% — акцент2 10" xfId="4448"/>
    <cellStyle name="40% — акцент2 11" xfId="5194"/>
    <cellStyle name="40% — акцент2 2" xfId="121"/>
    <cellStyle name="40% — акцент2 2 2" xfId="271"/>
    <cellStyle name="40% — акцент2 2 2 2" xfId="5988"/>
    <cellStyle name="40% — акцент2 2 3" xfId="1155"/>
    <cellStyle name="40% — акцент2 2 4" xfId="2247"/>
    <cellStyle name="40% — акцент2 2 4 2" xfId="7358"/>
    <cellStyle name="40% — акцент2 2 5" xfId="2996"/>
    <cellStyle name="40% — акцент2 2 6" xfId="3737"/>
    <cellStyle name="40% — акцент2 2 7" xfId="4478"/>
    <cellStyle name="40% — акцент2 2 8" xfId="5224"/>
    <cellStyle name="40% — акцент2 3" xfId="272"/>
    <cellStyle name="40% — акцент2 3 2" xfId="1156"/>
    <cellStyle name="40% — акцент2 3 2 2" xfId="5989"/>
    <cellStyle name="40% — акцент2 3 3" xfId="2248"/>
    <cellStyle name="40% — акцент2 3 3 2" xfId="7230"/>
    <cellStyle name="40% — акцент2 3 4" xfId="2997"/>
    <cellStyle name="40% — акцент2 3 4 2" xfId="8318"/>
    <cellStyle name="40% — акцент2 3 5" xfId="3738"/>
    <cellStyle name="40% — акцент2 3 6" xfId="4479"/>
    <cellStyle name="40% — акцент2 3 7" xfId="5225"/>
    <cellStyle name="40% — акцент2 4" xfId="273"/>
    <cellStyle name="40% — акцент2 4 2" xfId="1157"/>
    <cellStyle name="40% — акцент2 4 2 2" xfId="5990"/>
    <cellStyle name="40% — акцент2 4 3" xfId="2249"/>
    <cellStyle name="40% — акцент2 4 3 2" xfId="7207"/>
    <cellStyle name="40% — акцент2 4 4" xfId="2998"/>
    <cellStyle name="40% — акцент2 4 4 2" xfId="7359"/>
    <cellStyle name="40% — акцент2 4 5" xfId="3739"/>
    <cellStyle name="40% — акцент2 4 6" xfId="4480"/>
    <cellStyle name="40% — акцент2 4 7" xfId="5226"/>
    <cellStyle name="40% — акцент2 5" xfId="270"/>
    <cellStyle name="40% — акцент2 5 2" xfId="1158"/>
    <cellStyle name="40% — акцент2 5 2 2" xfId="6779"/>
    <cellStyle name="40% — акцент2 5 3" xfId="2867"/>
    <cellStyle name="40% — акцент2 5 3 2" xfId="7292"/>
    <cellStyle name="40% — акцент2 5 4" xfId="3610"/>
    <cellStyle name="40% — акцент2 5 4 2" xfId="7472"/>
    <cellStyle name="40% — акцент2 5 5" xfId="4351"/>
    <cellStyle name="40% — акцент2 5 6" xfId="5092"/>
    <cellStyle name="40% — акцент2 5 7" xfId="5833"/>
    <cellStyle name="40% — акцент2 6" xfId="1159"/>
    <cellStyle name="40% — акцент2 6 2" xfId="2940"/>
    <cellStyle name="40% — акцент2 6 2 2" xfId="6852"/>
    <cellStyle name="40% — акцент2 6 3" xfId="3681"/>
    <cellStyle name="40% — акцент2 6 3 2" xfId="7318"/>
    <cellStyle name="40% — акцент2 6 4" xfId="4422"/>
    <cellStyle name="40% — акцент2 6 4 2" xfId="7473"/>
    <cellStyle name="40% — акцент2 6 5" xfId="5163"/>
    <cellStyle name="40% — акцент2 6 6" xfId="5904"/>
    <cellStyle name="40% — акцент2 7" xfId="2217"/>
    <cellStyle name="40% — акцент2 7 2" xfId="5956"/>
    <cellStyle name="40% — акцент2 8" xfId="2966"/>
    <cellStyle name="40% — акцент2 9" xfId="3707"/>
    <cellStyle name="40% — акцент3" xfId="35" builtinId="39" customBuiltin="1"/>
    <cellStyle name="40% — акцент3 10" xfId="4450"/>
    <cellStyle name="40% — акцент3 11" xfId="5196"/>
    <cellStyle name="40% — акцент3 2" xfId="126"/>
    <cellStyle name="40% — акцент3 2 2" xfId="275"/>
    <cellStyle name="40% — акцент3 2 2 2" xfId="5991"/>
    <cellStyle name="40% — акцент3 2 3" xfId="1160"/>
    <cellStyle name="40% — акцент3 2 4" xfId="2250"/>
    <cellStyle name="40% — акцент3 2 4 2" xfId="7474"/>
    <cellStyle name="40% — акцент3 2 5" xfId="2999"/>
    <cellStyle name="40% — акцент3 2 6" xfId="3740"/>
    <cellStyle name="40% — акцент3 2 7" xfId="4481"/>
    <cellStyle name="40% — акцент3 2 8" xfId="5227"/>
    <cellStyle name="40% — акцент3 3" xfId="276"/>
    <cellStyle name="40% — акцент3 3 2" xfId="1161"/>
    <cellStyle name="40% — акцент3 3 2 2" xfId="5992"/>
    <cellStyle name="40% — акцент3 3 3" xfId="2251"/>
    <cellStyle name="40% — акцент3 3 3 2" xfId="7143"/>
    <cellStyle name="40% — акцент3 3 4" xfId="3000"/>
    <cellStyle name="40% — акцент3 3 4 2" xfId="7475"/>
    <cellStyle name="40% — акцент3 3 5" xfId="3741"/>
    <cellStyle name="40% — акцент3 3 6" xfId="4482"/>
    <cellStyle name="40% — акцент3 3 7" xfId="5228"/>
    <cellStyle name="40% — акцент3 4" xfId="277"/>
    <cellStyle name="40% — акцент3 4 2" xfId="1162"/>
    <cellStyle name="40% — акцент3 4 2 2" xfId="5993"/>
    <cellStyle name="40% — акцент3 4 3" xfId="2252"/>
    <cellStyle name="40% — акцент3 4 3 2" xfId="7142"/>
    <cellStyle name="40% — акцент3 4 4" xfId="3001"/>
    <cellStyle name="40% — акцент3 4 4 2" xfId="7476"/>
    <cellStyle name="40% — акцент3 4 5" xfId="3742"/>
    <cellStyle name="40% — акцент3 4 6" xfId="4483"/>
    <cellStyle name="40% — акцент3 4 7" xfId="5229"/>
    <cellStyle name="40% — акцент3 5" xfId="274"/>
    <cellStyle name="40% — акцент3 5 2" xfId="1163"/>
    <cellStyle name="40% — акцент3 5 2 2" xfId="6781"/>
    <cellStyle name="40% — акцент3 5 3" xfId="2869"/>
    <cellStyle name="40% — акцент3 5 3 2" xfId="7141"/>
    <cellStyle name="40% — акцент3 5 4" xfId="3612"/>
    <cellStyle name="40% — акцент3 5 4 2" xfId="7477"/>
    <cellStyle name="40% — акцент3 5 5" xfId="4353"/>
    <cellStyle name="40% — акцент3 5 6" xfId="5094"/>
    <cellStyle name="40% — акцент3 5 7" xfId="5835"/>
    <cellStyle name="40% — акцент3 6" xfId="1164"/>
    <cellStyle name="40% — акцент3 6 2" xfId="2941"/>
    <cellStyle name="40% — акцент3 6 2 2" xfId="6853"/>
    <cellStyle name="40% — акцент3 6 3" xfId="3682"/>
    <cellStyle name="40% — акцент3 6 3 2" xfId="7140"/>
    <cellStyle name="40% — акцент3 6 4" xfId="4423"/>
    <cellStyle name="40% — акцент3 6 4 2" xfId="7478"/>
    <cellStyle name="40% — акцент3 6 5" xfId="5164"/>
    <cellStyle name="40% — акцент3 6 6" xfId="5905"/>
    <cellStyle name="40% — акцент3 7" xfId="2219"/>
    <cellStyle name="40% — акцент3 7 2" xfId="5959"/>
    <cellStyle name="40% — акцент3 8" xfId="2968"/>
    <cellStyle name="40% — акцент3 9" xfId="3709"/>
    <cellStyle name="40% — акцент4" xfId="38" builtinId="43" customBuiltin="1"/>
    <cellStyle name="40% — акцент4 10" xfId="4452"/>
    <cellStyle name="40% — акцент4 11" xfId="5198"/>
    <cellStyle name="40% — акцент4 2" xfId="145"/>
    <cellStyle name="40% — акцент4 2 2" xfId="279"/>
    <cellStyle name="40% — акцент4 2 2 2" xfId="5994"/>
    <cellStyle name="40% — акцент4 2 3" xfId="1165"/>
    <cellStyle name="40% — акцент4 2 4" xfId="2253"/>
    <cellStyle name="40% — акцент4 2 4 2" xfId="8277"/>
    <cellStyle name="40% — акцент4 2 5" xfId="3002"/>
    <cellStyle name="40% — акцент4 2 6" xfId="3743"/>
    <cellStyle name="40% — акцент4 2 7" xfId="4484"/>
    <cellStyle name="40% — акцент4 2 8" xfId="5230"/>
    <cellStyle name="40% — акцент4 3" xfId="280"/>
    <cellStyle name="40% — акцент4 3 2" xfId="1166"/>
    <cellStyle name="40% — акцент4 3 2 2" xfId="5995"/>
    <cellStyle name="40% — акцент4 3 3" xfId="2254"/>
    <cellStyle name="40% — акцент4 3 3 2" xfId="7223"/>
    <cellStyle name="40% — акцент4 3 4" xfId="3003"/>
    <cellStyle name="40% — акцент4 3 4 2" xfId="8287"/>
    <cellStyle name="40% — акцент4 3 5" xfId="3744"/>
    <cellStyle name="40% — акцент4 3 6" xfId="4485"/>
    <cellStyle name="40% — акцент4 3 7" xfId="5231"/>
    <cellStyle name="40% — акцент4 4" xfId="281"/>
    <cellStyle name="40% — акцент4 4 2" xfId="1167"/>
    <cellStyle name="40% — акцент4 4 2 2" xfId="5996"/>
    <cellStyle name="40% — акцент4 4 3" xfId="2255"/>
    <cellStyle name="40% — акцент4 4 3 2" xfId="7139"/>
    <cellStyle name="40% — акцент4 4 4" xfId="3004"/>
    <cellStyle name="40% — акцент4 4 4 2" xfId="7479"/>
    <cellStyle name="40% — акцент4 4 5" xfId="3745"/>
    <cellStyle name="40% — акцент4 4 6" xfId="4486"/>
    <cellStyle name="40% — акцент4 4 7" xfId="5232"/>
    <cellStyle name="40% — акцент4 5" xfId="278"/>
    <cellStyle name="40% — акцент4 5 2" xfId="1168"/>
    <cellStyle name="40% — акцент4 5 2 2" xfId="6783"/>
    <cellStyle name="40% — акцент4 5 3" xfId="2871"/>
    <cellStyle name="40% — акцент4 5 3 2" xfId="6515"/>
    <cellStyle name="40% — акцент4 5 4" xfId="3614"/>
    <cellStyle name="40% — акцент4 5 4 2" xfId="8308"/>
    <cellStyle name="40% — акцент4 5 5" xfId="4355"/>
    <cellStyle name="40% — акцент4 5 6" xfId="5096"/>
    <cellStyle name="40% — акцент4 5 7" xfId="5837"/>
    <cellStyle name="40% — акцент4 6" xfId="1169"/>
    <cellStyle name="40% — акцент4 6 2" xfId="2946"/>
    <cellStyle name="40% — акцент4 6 2 2" xfId="6858"/>
    <cellStyle name="40% — акцент4 6 3" xfId="3687"/>
    <cellStyle name="40% — акцент4 6 3 2" xfId="6288"/>
    <cellStyle name="40% — акцент4 6 4" xfId="4428"/>
    <cellStyle name="40% — акцент4 6 4 2" xfId="8299"/>
    <cellStyle name="40% — акцент4 6 5" xfId="5169"/>
    <cellStyle name="40% — акцент4 6 6" xfId="5910"/>
    <cellStyle name="40% — акцент4 7" xfId="2221"/>
    <cellStyle name="40% — акцент4 7 2" xfId="5961"/>
    <cellStyle name="40% — акцент4 8" xfId="2970"/>
    <cellStyle name="40% — акцент4 9" xfId="3711"/>
    <cellStyle name="40% — акцент5" xfId="41" builtinId="47" customBuiltin="1"/>
    <cellStyle name="40% — акцент5 10" xfId="4454"/>
    <cellStyle name="40% — акцент5 11" xfId="5200"/>
    <cellStyle name="40% — акцент5 2" xfId="147"/>
    <cellStyle name="40% — акцент5 2 2" xfId="283"/>
    <cellStyle name="40% — акцент5 2 2 2" xfId="5997"/>
    <cellStyle name="40% — акцент5 2 3" xfId="1170"/>
    <cellStyle name="40% — акцент5 2 4" xfId="2256"/>
    <cellStyle name="40% — акцент5 2 4 2" xfId="7460"/>
    <cellStyle name="40% — акцент5 2 5" xfId="3005"/>
    <cellStyle name="40% — акцент5 2 6" xfId="3746"/>
    <cellStyle name="40% — акцент5 2 7" xfId="4487"/>
    <cellStyle name="40% — акцент5 2 8" xfId="5233"/>
    <cellStyle name="40% — акцент5 3" xfId="284"/>
    <cellStyle name="40% — акцент5 3 2" xfId="1171"/>
    <cellStyle name="40% — акцент5 3 2 2" xfId="5998"/>
    <cellStyle name="40% — акцент5 3 3" xfId="2257"/>
    <cellStyle name="40% — акцент5 3 3 2" xfId="6343"/>
    <cellStyle name="40% — акцент5 3 4" xfId="3006"/>
    <cellStyle name="40% — акцент5 3 4 2" xfId="7480"/>
    <cellStyle name="40% — акцент5 3 5" xfId="3747"/>
    <cellStyle name="40% — акцент5 3 6" xfId="4488"/>
    <cellStyle name="40% — акцент5 3 7" xfId="5234"/>
    <cellStyle name="40% — акцент5 4" xfId="285"/>
    <cellStyle name="40% — акцент5 4 2" xfId="1172"/>
    <cellStyle name="40% — акцент5 4 2 2" xfId="5999"/>
    <cellStyle name="40% — акцент5 4 3" xfId="2258"/>
    <cellStyle name="40% — акцент5 4 3 2" xfId="7258"/>
    <cellStyle name="40% — акцент5 4 4" xfId="3007"/>
    <cellStyle name="40% — акцент5 4 4 2" xfId="7481"/>
    <cellStyle name="40% — акцент5 4 5" xfId="3748"/>
    <cellStyle name="40% — акцент5 4 6" xfId="4489"/>
    <cellStyle name="40% — акцент5 4 7" xfId="5235"/>
    <cellStyle name="40% — акцент5 5" xfId="282"/>
    <cellStyle name="40% — акцент5 5 2" xfId="1173"/>
    <cellStyle name="40% — акцент5 5 2 2" xfId="6785"/>
    <cellStyle name="40% — акцент5 5 3" xfId="2873"/>
    <cellStyle name="40% — акцент5 5 3 2" xfId="7311"/>
    <cellStyle name="40% — акцент5 5 4" xfId="3616"/>
    <cellStyle name="40% — акцент5 5 4 2" xfId="7482"/>
    <cellStyle name="40% — акцент5 5 5" xfId="4357"/>
    <cellStyle name="40% — акцент5 5 6" xfId="5098"/>
    <cellStyle name="40% — акцент5 5 7" xfId="5839"/>
    <cellStyle name="40% — акцент5 6" xfId="1174"/>
    <cellStyle name="40% — акцент5 6 2" xfId="2948"/>
    <cellStyle name="40% — акцент5 6 2 2" xfId="6860"/>
    <cellStyle name="40% — акцент5 6 3" xfId="3689"/>
    <cellStyle name="40% — акцент5 6 3 2" xfId="7138"/>
    <cellStyle name="40% — акцент5 6 4" xfId="4430"/>
    <cellStyle name="40% — акцент5 6 4 2" xfId="7483"/>
    <cellStyle name="40% — акцент5 6 5" xfId="5171"/>
    <cellStyle name="40% — акцент5 6 6" xfId="5912"/>
    <cellStyle name="40% — акцент5 7" xfId="2223"/>
    <cellStyle name="40% — акцент5 7 2" xfId="5964"/>
    <cellStyle name="40% — акцент5 8" xfId="2972"/>
    <cellStyle name="40% — акцент5 9" xfId="3713"/>
    <cellStyle name="40% — акцент6" xfId="44" builtinId="51" customBuiltin="1"/>
    <cellStyle name="40% — акцент6 10" xfId="4456"/>
    <cellStyle name="40% — акцент6 11" xfId="5202"/>
    <cellStyle name="40% — акцент6 2" xfId="149"/>
    <cellStyle name="40% — акцент6 2 2" xfId="287"/>
    <cellStyle name="40% — акцент6 2 2 2" xfId="6000"/>
    <cellStyle name="40% — акцент6 2 3" xfId="1175"/>
    <cellStyle name="40% — акцент6 2 4" xfId="2259"/>
    <cellStyle name="40% — акцент6 2 4 2" xfId="7484"/>
    <cellStyle name="40% — акцент6 2 5" xfId="3008"/>
    <cellStyle name="40% — акцент6 2 6" xfId="3749"/>
    <cellStyle name="40% — акцент6 2 7" xfId="4490"/>
    <cellStyle name="40% — акцент6 2 8" xfId="5236"/>
    <cellStyle name="40% — акцент6 3" xfId="288"/>
    <cellStyle name="40% — акцент6 3 2" xfId="1176"/>
    <cellStyle name="40% — акцент6 3 2 2" xfId="6001"/>
    <cellStyle name="40% — акцент6 3 3" xfId="2260"/>
    <cellStyle name="40% — акцент6 3 3 2" xfId="7304"/>
    <cellStyle name="40% — акцент6 3 4" xfId="3009"/>
    <cellStyle name="40% — акцент6 3 4 2" xfId="7485"/>
    <cellStyle name="40% — акцент6 3 5" xfId="3750"/>
    <cellStyle name="40% — акцент6 3 6" xfId="4491"/>
    <cellStyle name="40% — акцент6 3 7" xfId="5237"/>
    <cellStyle name="40% — акцент6 4" xfId="289"/>
    <cellStyle name="40% — акцент6 4 2" xfId="1177"/>
    <cellStyle name="40% — акцент6 4 2 2" xfId="6002"/>
    <cellStyle name="40% — акцент6 4 3" xfId="2261"/>
    <cellStyle name="40% — акцент6 4 3 2" xfId="7137"/>
    <cellStyle name="40% — акцент6 4 4" xfId="3010"/>
    <cellStyle name="40% — акцент6 4 4 2" xfId="7383"/>
    <cellStyle name="40% — акцент6 4 5" xfId="3751"/>
    <cellStyle name="40% — акцент6 4 6" xfId="4492"/>
    <cellStyle name="40% — акцент6 4 7" xfId="5238"/>
    <cellStyle name="40% — акцент6 5" xfId="286"/>
    <cellStyle name="40% — акцент6 5 2" xfId="1178"/>
    <cellStyle name="40% — акцент6 5 2 2" xfId="6787"/>
    <cellStyle name="40% — акцент6 5 3" xfId="2875"/>
    <cellStyle name="40% — акцент6 5 3 2" xfId="7136"/>
    <cellStyle name="40% — акцент6 5 4" xfId="3618"/>
    <cellStyle name="40% — акцент6 5 4 2" xfId="7486"/>
    <cellStyle name="40% — акцент6 5 5" xfId="4359"/>
    <cellStyle name="40% — акцент6 5 6" xfId="5100"/>
    <cellStyle name="40% — акцент6 5 7" xfId="5841"/>
    <cellStyle name="40% — акцент6 6" xfId="1179"/>
    <cellStyle name="40% — акцент6 6 2" xfId="2950"/>
    <cellStyle name="40% — акцент6 6 2 2" xfId="6862"/>
    <cellStyle name="40% — акцент6 6 3" xfId="3691"/>
    <cellStyle name="40% — акцент6 6 3 2" xfId="7135"/>
    <cellStyle name="40% — акцент6 6 4" xfId="4432"/>
    <cellStyle name="40% — акцент6 6 4 2" xfId="7487"/>
    <cellStyle name="40% — акцент6 6 5" xfId="5173"/>
    <cellStyle name="40% — акцент6 6 6" xfId="5914"/>
    <cellStyle name="40% — акцент6 7" xfId="2225"/>
    <cellStyle name="40% — акцент6 7 2" xfId="5966"/>
    <cellStyle name="40% — акцент6 8" xfId="2974"/>
    <cellStyle name="40% — акцент6 9" xfId="3715"/>
    <cellStyle name="60% — акцент1 2" xfId="94"/>
    <cellStyle name="60% — акцент1 2 2" xfId="1180"/>
    <cellStyle name="60% — акцент1 2 3" xfId="7488"/>
    <cellStyle name="60% — акцент1 3" xfId="1181"/>
    <cellStyle name="60% — акцент1 3 2" xfId="2856"/>
    <cellStyle name="60% — акцент1 3 2 2" xfId="7134"/>
    <cellStyle name="60% — акцент1 3 3" xfId="7489"/>
    <cellStyle name="60% — акцент2 2" xfId="98"/>
    <cellStyle name="60% — акцент2 2 2" xfId="1182"/>
    <cellStyle name="60% — акцент2 2 3" xfId="7490"/>
    <cellStyle name="60% — акцент2 3" xfId="1183"/>
    <cellStyle name="60% — акцент2 3 2" xfId="2857"/>
    <cellStyle name="60% — акцент2 3 2 2" xfId="7133"/>
    <cellStyle name="60% — акцент2 3 3" xfId="7491"/>
    <cellStyle name="60% — акцент3 2" xfId="100"/>
    <cellStyle name="60% — акцент3 2 2" xfId="1184"/>
    <cellStyle name="60% — акцент3 2 3" xfId="7492"/>
    <cellStyle name="60% — акцент3 3" xfId="1185"/>
    <cellStyle name="60% — акцент3 3 2" xfId="2858"/>
    <cellStyle name="60% — акцент3 3 2 2" xfId="6748"/>
    <cellStyle name="60% — акцент3 3 3" xfId="7493"/>
    <cellStyle name="60% — акцент4 2" xfId="102"/>
    <cellStyle name="60% — акцент4 2 2" xfId="1186"/>
    <cellStyle name="60% — акцент4 2 3" xfId="7494"/>
    <cellStyle name="60% — акцент4 3" xfId="1187"/>
    <cellStyle name="60% — акцент4 3 2" xfId="2859"/>
    <cellStyle name="60% — акцент4 3 2 2" xfId="7354"/>
    <cellStyle name="60% — акцент4 3 3" xfId="7495"/>
    <cellStyle name="60% — акцент5 2" xfId="103"/>
    <cellStyle name="60% — акцент5 2 2" xfId="1188"/>
    <cellStyle name="60% — акцент5 2 3" xfId="7496"/>
    <cellStyle name="60% — акцент5 3" xfId="1189"/>
    <cellStyle name="60% — акцент5 3 2" xfId="2860"/>
    <cellStyle name="60% — акцент5 3 2 2" xfId="7131"/>
    <cellStyle name="60% — акцент5 3 3" xfId="7497"/>
    <cellStyle name="60% — акцент6 2" xfId="106"/>
    <cellStyle name="60% — акцент6 2 2" xfId="1190"/>
    <cellStyle name="60% — акцент6 2 3" xfId="8320"/>
    <cellStyle name="60% — акцент6 3" xfId="1191"/>
    <cellStyle name="60% — акцент6 3 2" xfId="2861"/>
    <cellStyle name="60% — акцент6 3 2 2" xfId="7244"/>
    <cellStyle name="60% — акцент6 3 3" xfId="7498"/>
    <cellStyle name="Excel Built-in 20% - Accent1" xfId="1192"/>
    <cellStyle name="Excel Built-in 20% - Accent2" xfId="1193"/>
    <cellStyle name="Excel Built-in 20% - Accent3" xfId="1194"/>
    <cellStyle name="Excel Built-in 20% - Accent4" xfId="1195"/>
    <cellStyle name="Excel Built-in 20% - Accent5" xfId="1196"/>
    <cellStyle name="Excel Built-in 20% - Accent6" xfId="1197"/>
    <cellStyle name="Excel Built-in 40% - Accent1" xfId="1198"/>
    <cellStyle name="Excel Built-in 40% - Accent2" xfId="1199"/>
    <cellStyle name="Excel Built-in 40% - Accent3" xfId="1200"/>
    <cellStyle name="Excel Built-in 40% - Accent4" xfId="1201"/>
    <cellStyle name="Excel Built-in 40% - Accent5" xfId="1202"/>
    <cellStyle name="Excel Built-in 40% - Accent6" xfId="1203"/>
    <cellStyle name="Excel Built-in Accent1" xfId="1204"/>
    <cellStyle name="Excel Built-in Accent2" xfId="1205"/>
    <cellStyle name="Excel Built-in Accent3" xfId="1206"/>
    <cellStyle name="Excel Built-in Accent4" xfId="1207"/>
    <cellStyle name="Excel Built-in Accent5" xfId="1208"/>
    <cellStyle name="Excel Built-in Accent6" xfId="1209"/>
    <cellStyle name="Excel Built-in Bad" xfId="1210"/>
    <cellStyle name="Excel Built-in Calculation" xfId="1211"/>
    <cellStyle name="Excel Built-in Check Cell" xfId="1212"/>
    <cellStyle name="Excel Built-in Explanatory Text" xfId="1213"/>
    <cellStyle name="Excel Built-in Good" xfId="1214"/>
    <cellStyle name="Excel Built-in Heading 1" xfId="1215"/>
    <cellStyle name="Excel Built-in Heading 2" xfId="1216"/>
    <cellStyle name="Excel Built-in Heading 3" xfId="1217"/>
    <cellStyle name="Excel Built-in Heading 4" xfId="1218"/>
    <cellStyle name="Excel Built-in Hyperlink" xfId="1219"/>
    <cellStyle name="Excel Built-in Input" xfId="1220"/>
    <cellStyle name="Excel Built-in Linked Cell" xfId="1221"/>
    <cellStyle name="Excel Built-in Normal" xfId="4"/>
    <cellStyle name="Excel Built-in Normal 1" xfId="1223"/>
    <cellStyle name="Excel Built-in Normal 2" xfId="8"/>
    <cellStyle name="Excel Built-in Normal 2 2" xfId="290"/>
    <cellStyle name="Excel Built-in Normal 2 2 2" xfId="1225"/>
    <cellStyle name="Excel Built-in Normal 2 3" xfId="1224"/>
    <cellStyle name="Excel Built-in Normal 3" xfId="1222"/>
    <cellStyle name="Excel Built-in Output" xfId="1226"/>
    <cellStyle name="Excel Built-in Title" xfId="1227"/>
    <cellStyle name="Excel Built-in Total" xfId="1228"/>
    <cellStyle name="Excel Built-in Warning Text" xfId="1229"/>
    <cellStyle name="Heading" xfId="50"/>
    <cellStyle name="Heading 1" xfId="291"/>
    <cellStyle name="Heading 1 2" xfId="1231"/>
    <cellStyle name="Heading 2" xfId="1232"/>
    <cellStyle name="Heading 2 2" xfId="7499"/>
    <cellStyle name="Heading 3" xfId="1230"/>
    <cellStyle name="Heading1" xfId="51"/>
    <cellStyle name="Heading1 1" xfId="292"/>
    <cellStyle name="Heading1 1 2" xfId="1234"/>
    <cellStyle name="Heading1 2" xfId="1235"/>
    <cellStyle name="Heading1 2 2" xfId="7500"/>
    <cellStyle name="Heading1 3" xfId="1233"/>
    <cellStyle name="Normal" xfId="7"/>
    <cellStyle name="Normal 2" xfId="293"/>
    <cellStyle name="Normal 2 2" xfId="1237"/>
    <cellStyle name="Normal 3" xfId="1236"/>
    <cellStyle name="Result" xfId="52"/>
    <cellStyle name="Result 1" xfId="294"/>
    <cellStyle name="Result 1 2" xfId="1239"/>
    <cellStyle name="Result 2" xfId="1240"/>
    <cellStyle name="Result 2 2" xfId="8237"/>
    <cellStyle name="Result 3" xfId="1238"/>
    <cellStyle name="Result2" xfId="53"/>
    <cellStyle name="Result2 1" xfId="295"/>
    <cellStyle name="Result2 1 2" xfId="1242"/>
    <cellStyle name="Result2 2" xfId="1243"/>
    <cellStyle name="Result2 2 2" xfId="8289"/>
    <cellStyle name="Result2 3" xfId="1241"/>
    <cellStyle name="Акцент1" xfId="27" builtinId="29" customBuiltin="1"/>
    <cellStyle name="Акцент2" xfId="30" builtinId="33" customBuiltin="1"/>
    <cellStyle name="Акцент3" xfId="33" builtinId="37" customBuiltin="1"/>
    <cellStyle name="Акцент4" xfId="36" builtinId="41" customBuiltin="1"/>
    <cellStyle name="Акцент5" xfId="39" builtinId="45" customBuiltin="1"/>
    <cellStyle name="Акцент6" xfId="42" builtinId="49" customBuiltin="1"/>
    <cellStyle name="Ввод " xfId="19" builtinId="20" customBuiltin="1"/>
    <cellStyle name="Вывод" xfId="20" builtinId="21" customBuiltin="1"/>
    <cellStyle name="Вычисление" xfId="21" builtinId="22" customBuiltin="1"/>
    <cellStyle name="Гиперссылка 2" xfId="54"/>
    <cellStyle name="Гиперссылка 2 2" xfId="296"/>
    <cellStyle name="Гиперссылка 2 2 2" xfId="1245"/>
    <cellStyle name="Гиперссылка 2 3" xfId="1244"/>
    <cellStyle name="Гиперссылка 2 4" xfId="7501"/>
    <cellStyle name="Гиперссылка 3" xfId="59"/>
    <cellStyle name="Гиперссылка 3 2" xfId="1246"/>
    <cellStyle name="Гиперссылка 4" xfId="297"/>
    <cellStyle name="Гиперссылка 4 2" xfId="1247"/>
    <cellStyle name="Гиперссылка 5" xfId="7406"/>
    <cellStyle name="Заголовок 1" xfId="13" builtinId="16" customBuiltin="1"/>
    <cellStyle name="Заголовок 2" xfId="14" builtinId="17" customBuiltin="1"/>
    <cellStyle name="Заголовок 3" xfId="15" builtinId="18" customBuiltin="1"/>
    <cellStyle name="Заголовок 4" xfId="16" builtinId="19" customBuiltin="1"/>
    <cellStyle name="Итог" xfId="26" builtinId="25" customBuiltin="1"/>
    <cellStyle name="Контрольная ячейка" xfId="23" builtinId="23" customBuiltin="1"/>
    <cellStyle name="Название" xfId="12" builtinId="15" customBuiltin="1"/>
    <cellStyle name="Нейтральный 2" xfId="89"/>
    <cellStyle name="Нейтральный 2 2" xfId="1248"/>
    <cellStyle name="Нейтральный 2 3" xfId="7502"/>
    <cellStyle name="Нейтральный 3" xfId="1249"/>
    <cellStyle name="Нейтральный 3 2" xfId="2855"/>
    <cellStyle name="Нейтральный 3 2 2" xfId="7130"/>
    <cellStyle name="Нейтральный 3 3" xfId="7503"/>
    <cellStyle name="Обычный" xfId="0" builtinId="0"/>
    <cellStyle name="Обычный 10" xfId="61"/>
    <cellStyle name="Обычный 10 10" xfId="234"/>
    <cellStyle name="Обычный 10 10 2" xfId="299"/>
    <cellStyle name="Обычный 10 10 2 2" xfId="6018"/>
    <cellStyle name="Обычный 10 10 3" xfId="1251"/>
    <cellStyle name="Обычный 10 10 4" xfId="2196"/>
    <cellStyle name="Обычный 10 10 4 2" xfId="7504"/>
    <cellStyle name="Обычный 10 10 5" xfId="3012"/>
    <cellStyle name="Обычный 10 10 6" xfId="3753"/>
    <cellStyle name="Обычный 10 10 7" xfId="4494"/>
    <cellStyle name="Обычный 10 10 8" xfId="5240"/>
    <cellStyle name="Обычный 10 11" xfId="300"/>
    <cellStyle name="Обычный 10 11 2" xfId="301"/>
    <cellStyle name="Обычный 10 11 2 2" xfId="1253"/>
    <cellStyle name="Обычный 10 11 3" xfId="1252"/>
    <cellStyle name="Обычный 10 12" xfId="302"/>
    <cellStyle name="Обычный 10 12 2" xfId="1254"/>
    <cellStyle name="Обычный 10 12 2 2" xfId="6020"/>
    <cellStyle name="Обычный 10 12 3" xfId="2197"/>
    <cellStyle name="Обычный 10 12 3 2" xfId="7178"/>
    <cellStyle name="Обычный 10 12 4" xfId="3013"/>
    <cellStyle name="Обычный 10 12 4 2" xfId="7437"/>
    <cellStyle name="Обычный 10 12 5" xfId="3754"/>
    <cellStyle name="Обычный 10 12 6" xfId="4495"/>
    <cellStyle name="Обычный 10 12 7" xfId="5241"/>
    <cellStyle name="Обычный 10 13" xfId="303"/>
    <cellStyle name="Обычный 10 13 2" xfId="1255"/>
    <cellStyle name="Обычный 10 13 2 2" xfId="6021"/>
    <cellStyle name="Обычный 10 13 3" xfId="2262"/>
    <cellStyle name="Обычный 10 13 3 2" xfId="7128"/>
    <cellStyle name="Обычный 10 13 4" xfId="3014"/>
    <cellStyle name="Обычный 10 13 4 2" xfId="7443"/>
    <cellStyle name="Обычный 10 13 5" xfId="3755"/>
    <cellStyle name="Обычный 10 13 6" xfId="4496"/>
    <cellStyle name="Обычный 10 13 7" xfId="5242"/>
    <cellStyle name="Обычный 10 14" xfId="304"/>
    <cellStyle name="Обычный 10 14 2" xfId="1256"/>
    <cellStyle name="Обычный 10 14 2 2" xfId="6022"/>
    <cellStyle name="Обычный 10 14 3" xfId="2198"/>
    <cellStyle name="Обычный 10 14 3 2" xfId="7127"/>
    <cellStyle name="Обычный 10 14 4" xfId="3015"/>
    <cellStyle name="Обычный 10 14 4 2" xfId="7505"/>
    <cellStyle name="Обычный 10 14 5" xfId="3756"/>
    <cellStyle name="Обычный 10 14 6" xfId="4497"/>
    <cellStyle name="Обычный 10 14 7" xfId="5243"/>
    <cellStyle name="Обычный 10 15" xfId="305"/>
    <cellStyle name="Обычный 10 15 2" xfId="1257"/>
    <cellStyle name="Обычный 10 15 2 2" xfId="6023"/>
    <cellStyle name="Обычный 10 15 3" xfId="2263"/>
    <cellStyle name="Обычный 10 15 3 2" xfId="7289"/>
    <cellStyle name="Обычный 10 15 4" xfId="3016"/>
    <cellStyle name="Обычный 10 15 4 2" xfId="7506"/>
    <cellStyle name="Обычный 10 15 5" xfId="3757"/>
    <cellStyle name="Обычный 10 15 6" xfId="4498"/>
    <cellStyle name="Обычный 10 15 7" xfId="5244"/>
    <cellStyle name="Обычный 10 16" xfId="306"/>
    <cellStyle name="Обычный 10 16 2" xfId="1258"/>
    <cellStyle name="Обычный 10 16 2 2" xfId="6024"/>
    <cellStyle name="Обычный 10 16 3" xfId="2199"/>
    <cellStyle name="Обычный 10 16 3 2" xfId="7126"/>
    <cellStyle name="Обычный 10 16 4" xfId="3017"/>
    <cellStyle name="Обычный 10 16 4 2" xfId="7385"/>
    <cellStyle name="Обычный 10 16 5" xfId="3758"/>
    <cellStyle name="Обычный 10 16 6" xfId="4499"/>
    <cellStyle name="Обычный 10 16 7" xfId="5174"/>
    <cellStyle name="Обычный 10 17" xfId="307"/>
    <cellStyle name="Обычный 10 17 2" xfId="1259"/>
    <cellStyle name="Обычный 10 17 2 2" xfId="6025"/>
    <cellStyle name="Обычный 10 17 3" xfId="2200"/>
    <cellStyle name="Обычный 10 17 3 2" xfId="7125"/>
    <cellStyle name="Обычный 10 17 4" xfId="3018"/>
    <cellStyle name="Обычный 10 17 4 2" xfId="7508"/>
    <cellStyle name="Обычный 10 17 5" xfId="3759"/>
    <cellStyle name="Обычный 10 17 6" xfId="4500"/>
    <cellStyle name="Обычный 10 17 7" xfId="5175"/>
    <cellStyle name="Обычный 10 18" xfId="308"/>
    <cellStyle name="Обычный 10 18 2" xfId="1260"/>
    <cellStyle name="Обычный 10 18 2 2" xfId="6026"/>
    <cellStyle name="Обычный 10 18 3" xfId="2201"/>
    <cellStyle name="Обычный 10 18 3 2" xfId="7232"/>
    <cellStyle name="Обычный 10 18 4" xfId="3019"/>
    <cellStyle name="Обычный 10 18 4 2" xfId="7509"/>
    <cellStyle name="Обычный 10 18 5" xfId="3760"/>
    <cellStyle name="Обычный 10 18 6" xfId="4501"/>
    <cellStyle name="Обычный 10 18 7" xfId="5176"/>
    <cellStyle name="Обычный 10 19" xfId="309"/>
    <cellStyle name="Обычный 10 19 2" xfId="1261"/>
    <cellStyle name="Обычный 10 19 2 2" xfId="6027"/>
    <cellStyle name="Обычный 10 19 3" xfId="2264"/>
    <cellStyle name="Обычный 10 19 3 2" xfId="7287"/>
    <cellStyle name="Обычный 10 19 4" xfId="3020"/>
    <cellStyle name="Обычный 10 19 4 2" xfId="7510"/>
    <cellStyle name="Обычный 10 19 5" xfId="3761"/>
    <cellStyle name="Обычный 10 19 6" xfId="4502"/>
    <cellStyle name="Обычный 10 19 7" xfId="5177"/>
    <cellStyle name="Обычный 10 2" xfId="75"/>
    <cellStyle name="Обычный 10 2 2" xfId="310"/>
    <cellStyle name="Обычный 10 2 2 2" xfId="1263"/>
    <cellStyle name="Обычный 10 2 2 2 2" xfId="6842"/>
    <cellStyle name="Обычный 10 2 2 3" xfId="2930"/>
    <cellStyle name="Обычный 10 2 2 3 2" xfId="7285"/>
    <cellStyle name="Обычный 10 2 2 4" xfId="3671"/>
    <cellStyle name="Обычный 10 2 2 4 2" xfId="7512"/>
    <cellStyle name="Обычный 10 2 2 5" xfId="4412"/>
    <cellStyle name="Обычный 10 2 2 6" xfId="5153"/>
    <cellStyle name="Обычный 10 2 2 7" xfId="5894"/>
    <cellStyle name="Обычный 10 2 3" xfId="1262"/>
    <cellStyle name="Обычный 10 2 3 2" xfId="6028"/>
    <cellStyle name="Обычный 10 2 4" xfId="2265"/>
    <cellStyle name="Обычный 10 2 4 2" xfId="7124"/>
    <cellStyle name="Обычный 10 2 5" xfId="3021"/>
    <cellStyle name="Обычный 10 2 5 2" xfId="7511"/>
    <cellStyle name="Обычный 10 2 6" xfId="3762"/>
    <cellStyle name="Обычный 10 2 7" xfId="4503"/>
    <cellStyle name="Обычный 10 2 8" xfId="5245"/>
    <cellStyle name="Обычный 10 20" xfId="311"/>
    <cellStyle name="Обычный 10 20 2" xfId="1264"/>
    <cellStyle name="Обычный 10 20 2 2" xfId="6029"/>
    <cellStyle name="Обычный 10 20 3" xfId="2266"/>
    <cellStyle name="Обычный 10 20 3 2" xfId="7123"/>
    <cellStyle name="Обычный 10 20 4" xfId="3022"/>
    <cellStyle name="Обычный 10 20 4 2" xfId="7513"/>
    <cellStyle name="Обычный 10 20 5" xfId="3763"/>
    <cellStyle name="Обычный 10 20 6" xfId="4504"/>
    <cellStyle name="Обычный 10 20 7" xfId="5178"/>
    <cellStyle name="Обычный 10 21" xfId="312"/>
    <cellStyle name="Обычный 10 21 2" xfId="1265"/>
    <cellStyle name="Обычный 10 21 2 2" xfId="6030"/>
    <cellStyle name="Обычный 10 21 3" xfId="2267"/>
    <cellStyle name="Обычный 10 21 3 2" xfId="7281"/>
    <cellStyle name="Обычный 10 21 4" xfId="3023"/>
    <cellStyle name="Обычный 10 21 4 2" xfId="7514"/>
    <cellStyle name="Обычный 10 21 5" xfId="3764"/>
    <cellStyle name="Обычный 10 21 6" xfId="4505"/>
    <cellStyle name="Обычный 10 21 7" xfId="5246"/>
    <cellStyle name="Обычный 10 22" xfId="313"/>
    <cellStyle name="Обычный 10 22 2" xfId="1266"/>
    <cellStyle name="Обычный 10 22 2 2" xfId="6031"/>
    <cellStyle name="Обычный 10 22 3" xfId="2268"/>
    <cellStyle name="Обычный 10 22 3 2" xfId="7122"/>
    <cellStyle name="Обычный 10 22 4" xfId="3024"/>
    <cellStyle name="Обычный 10 22 4 2" xfId="7515"/>
    <cellStyle name="Обычный 10 22 5" xfId="3765"/>
    <cellStyle name="Обычный 10 22 6" xfId="4506"/>
    <cellStyle name="Обычный 10 22 7" xfId="5247"/>
    <cellStyle name="Обычный 10 23" xfId="314"/>
    <cellStyle name="Обычный 10 23 2" xfId="1267"/>
    <cellStyle name="Обычный 10 23 2 2" xfId="6032"/>
    <cellStyle name="Обычный 10 23 3" xfId="2269"/>
    <cellStyle name="Обычный 10 23 3 2" xfId="6348"/>
    <cellStyle name="Обычный 10 23 4" xfId="3025"/>
    <cellStyle name="Обычный 10 23 4 2" xfId="7516"/>
    <cellStyle name="Обычный 10 23 5" xfId="3766"/>
    <cellStyle name="Обычный 10 23 6" xfId="4507"/>
    <cellStyle name="Обычный 10 23 7" xfId="5248"/>
    <cellStyle name="Обычный 10 24" xfId="315"/>
    <cellStyle name="Обычный 10 24 2" xfId="1268"/>
    <cellStyle name="Обычный 10 24 2 2" xfId="6033"/>
    <cellStyle name="Обычный 10 24 3" xfId="2270"/>
    <cellStyle name="Обычный 10 24 3 2" xfId="7268"/>
    <cellStyle name="Обычный 10 24 4" xfId="3026"/>
    <cellStyle name="Обычный 10 24 4 2" xfId="7517"/>
    <cellStyle name="Обычный 10 24 5" xfId="3767"/>
    <cellStyle name="Обычный 10 24 6" xfId="4508"/>
    <cellStyle name="Обычный 10 24 7" xfId="5249"/>
    <cellStyle name="Обычный 10 25" xfId="316"/>
    <cellStyle name="Обычный 10 25 2" xfId="1269"/>
    <cellStyle name="Обычный 10 25 2 2" xfId="6034"/>
    <cellStyle name="Обычный 10 25 3" xfId="2271"/>
    <cellStyle name="Обычный 10 25 3 2" xfId="6514"/>
    <cellStyle name="Обычный 10 25 4" xfId="3027"/>
    <cellStyle name="Обычный 10 25 4 2" xfId="7518"/>
    <cellStyle name="Обычный 10 25 5" xfId="3768"/>
    <cellStyle name="Обычный 10 25 6" xfId="4509"/>
    <cellStyle name="Обычный 10 25 7" xfId="5250"/>
    <cellStyle name="Обычный 10 26" xfId="317"/>
    <cellStyle name="Обычный 10 26 2" xfId="1270"/>
    <cellStyle name="Обычный 10 26 2 2" xfId="6035"/>
    <cellStyle name="Обычный 10 26 3" xfId="2272"/>
    <cellStyle name="Обычный 10 26 3 2" xfId="7159"/>
    <cellStyle name="Обычный 10 26 4" xfId="3028"/>
    <cellStyle name="Обычный 10 26 4 2" xfId="7519"/>
    <cellStyle name="Обычный 10 26 5" xfId="3769"/>
    <cellStyle name="Обычный 10 26 6" xfId="4510"/>
    <cellStyle name="Обычный 10 26 7" xfId="5251"/>
    <cellStyle name="Обычный 10 27" xfId="318"/>
    <cellStyle name="Обычный 10 27 2" xfId="1271"/>
    <cellStyle name="Обычный 10 27 2 2" xfId="6036"/>
    <cellStyle name="Обычный 10 27 3" xfId="2273"/>
    <cellStyle name="Обычный 10 27 3 2" xfId="7260"/>
    <cellStyle name="Обычный 10 27 4" xfId="3029"/>
    <cellStyle name="Обычный 10 27 4 2" xfId="8322"/>
    <cellStyle name="Обычный 10 27 5" xfId="3770"/>
    <cellStyle name="Обычный 10 27 6" xfId="4511"/>
    <cellStyle name="Обычный 10 27 7" xfId="5252"/>
    <cellStyle name="Обычный 10 28" xfId="298"/>
    <cellStyle name="Обычный 10 28 2" xfId="1272"/>
    <cellStyle name="Обычный 10 28 2 2" xfId="6794"/>
    <cellStyle name="Обычный 10 28 3" xfId="2882"/>
    <cellStyle name="Обычный 10 28 3 2" xfId="6752"/>
    <cellStyle name="Обычный 10 28 4" xfId="3623"/>
    <cellStyle name="Обычный 10 28 4 2" xfId="7520"/>
    <cellStyle name="Обычный 10 28 5" xfId="4364"/>
    <cellStyle name="Обычный 10 28 6" xfId="5105"/>
    <cellStyle name="Обычный 10 28 7" xfId="5846"/>
    <cellStyle name="Обычный 10 29" xfId="1273"/>
    <cellStyle name="Обычный 10 29 2" xfId="2894"/>
    <cellStyle name="Обычный 10 29 2 2" xfId="6806"/>
    <cellStyle name="Обычный 10 29 3" xfId="3635"/>
    <cellStyle name="Обычный 10 29 3 2" xfId="7121"/>
    <cellStyle name="Обычный 10 29 4" xfId="4376"/>
    <cellStyle name="Обычный 10 29 4 2" xfId="7521"/>
    <cellStyle name="Обычный 10 29 5" xfId="5117"/>
    <cellStyle name="Обычный 10 29 6" xfId="5858"/>
    <cellStyle name="Обычный 10 3" xfId="99"/>
    <cellStyle name="Обычный 10 3 2" xfId="319"/>
    <cellStyle name="Обычный 10 3 2 2" xfId="1275"/>
    <cellStyle name="Обычный 10 3 2 2 2" xfId="6830"/>
    <cellStyle name="Обычный 10 3 2 3" xfId="2918"/>
    <cellStyle name="Обычный 10 3 2 3 2" xfId="7233"/>
    <cellStyle name="Обычный 10 3 2 4" xfId="3659"/>
    <cellStyle name="Обычный 10 3 2 4 2" xfId="7523"/>
    <cellStyle name="Обычный 10 3 2 5" xfId="4400"/>
    <cellStyle name="Обычный 10 3 2 6" xfId="5141"/>
    <cellStyle name="Обычный 10 3 2 7" xfId="5882"/>
    <cellStyle name="Обычный 10 3 3" xfId="1274"/>
    <cellStyle name="Обычный 10 3 3 2" xfId="6037"/>
    <cellStyle name="Обычный 10 3 4" xfId="2274"/>
    <cellStyle name="Обычный 10 3 4 2" xfId="7195"/>
    <cellStyle name="Обычный 10 3 5" xfId="3030"/>
    <cellStyle name="Обычный 10 3 5 2" xfId="7522"/>
    <cellStyle name="Обычный 10 3 6" xfId="3771"/>
    <cellStyle name="Обычный 10 3 7" xfId="4512"/>
    <cellStyle name="Обычный 10 3 8" xfId="5253"/>
    <cellStyle name="Обычный 10 30" xfId="1276"/>
    <cellStyle name="Обычный 10 30 2" xfId="2906"/>
    <cellStyle name="Обычный 10 30 2 2" xfId="6818"/>
    <cellStyle name="Обычный 10 30 3" xfId="3647"/>
    <cellStyle name="Обычный 10 30 3 2" xfId="6761"/>
    <cellStyle name="Обычный 10 30 4" xfId="4388"/>
    <cellStyle name="Обычный 10 30 4 2" xfId="7524"/>
    <cellStyle name="Обычный 10 30 5" xfId="5129"/>
    <cellStyle name="Обычный 10 30 6" xfId="5870"/>
    <cellStyle name="Обычный 10 31" xfId="1277"/>
    <cellStyle name="Обычный 10 31 2" xfId="2195"/>
    <cellStyle name="Обычный 10 31 2 2" xfId="6017"/>
    <cellStyle name="Обычный 10 31 3" xfId="3011"/>
    <cellStyle name="Обычный 10 31 3 2" xfId="5925"/>
    <cellStyle name="Обычный 10 31 4" xfId="3752"/>
    <cellStyle name="Обычный 10 31 4 2" xfId="7525"/>
    <cellStyle name="Обычный 10 31 5" xfId="4493"/>
    <cellStyle name="Обычный 10 31 6" xfId="5239"/>
    <cellStyle name="Обычный 10 32" xfId="1250"/>
    <cellStyle name="Обычный 10 32 2" xfId="5932"/>
    <cellStyle name="Обычный 10 33" xfId="2206"/>
    <cellStyle name="Обычный 10 33 2" xfId="7129"/>
    <cellStyle name="Обычный 10 34" xfId="2955"/>
    <cellStyle name="Обычный 10 35" xfId="3696"/>
    <cellStyle name="Обычный 10 36" xfId="4437"/>
    <cellStyle name="Обычный 10 37" xfId="5183"/>
    <cellStyle name="Обычный 10 4" xfId="11"/>
    <cellStyle name="Обычный 10 4 2" xfId="127"/>
    <cellStyle name="Обычный 10 4 2 2" xfId="6038"/>
    <cellStyle name="Обычный 10 4 3" xfId="320"/>
    <cellStyle name="Обычный 10 4 3 2" xfId="6306"/>
    <cellStyle name="Обычный 10 4 4" xfId="1278"/>
    <cellStyle name="Обычный 10 4 4 2" xfId="7526"/>
    <cellStyle name="Обычный 10 4 5" xfId="2275"/>
    <cellStyle name="Обычный 10 4 6" xfId="3031"/>
    <cellStyle name="Обычный 10 4 7" xfId="3772"/>
    <cellStyle name="Обычный 10 4 8" xfId="4513"/>
    <cellStyle name="Обычный 10 4 9" xfId="5254"/>
    <cellStyle name="Обычный 10 5" xfId="156"/>
    <cellStyle name="Обычный 10 5 2" xfId="321"/>
    <cellStyle name="Обычный 10 5 2 2" xfId="6039"/>
    <cellStyle name="Обычный 10 5 3" xfId="1279"/>
    <cellStyle name="Обычный 10 5 4" xfId="2276"/>
    <cellStyle name="Обычный 10 5 4 2" xfId="7527"/>
    <cellStyle name="Обычный 10 5 5" xfId="3032"/>
    <cellStyle name="Обычный 10 5 6" xfId="3773"/>
    <cellStyle name="Обычный 10 5 7" xfId="4514"/>
    <cellStyle name="Обычный 10 5 8" xfId="5255"/>
    <cellStyle name="Обычный 10 6" xfId="171"/>
    <cellStyle name="Обычный 10 6 2" xfId="322"/>
    <cellStyle name="Обычный 10 6 2 2" xfId="6040"/>
    <cellStyle name="Обычный 10 6 3" xfId="1280"/>
    <cellStyle name="Обычный 10 6 4" xfId="2277"/>
    <cellStyle name="Обычный 10 6 4 2" xfId="8280"/>
    <cellStyle name="Обычный 10 6 5" xfId="3033"/>
    <cellStyle name="Обычный 10 6 6" xfId="3774"/>
    <cellStyle name="Обычный 10 6 7" xfId="4515"/>
    <cellStyle name="Обычный 10 6 8" xfId="5256"/>
    <cellStyle name="Обычный 10 7" xfId="192"/>
    <cellStyle name="Обычный 10 7 2" xfId="323"/>
    <cellStyle name="Обычный 10 7 2 2" xfId="6041"/>
    <cellStyle name="Обычный 10 7 3" xfId="1281"/>
    <cellStyle name="Обычный 10 7 4" xfId="2278"/>
    <cellStyle name="Обычный 10 7 4 2" xfId="8291"/>
    <cellStyle name="Обычный 10 7 5" xfId="3034"/>
    <cellStyle name="Обычный 10 7 6" xfId="3775"/>
    <cellStyle name="Обычный 10 7 7" xfId="4516"/>
    <cellStyle name="Обычный 10 7 8" xfId="5257"/>
    <cellStyle name="Обычный 10 8" xfId="206"/>
    <cellStyle name="Обычный 10 8 2" xfId="324"/>
    <cellStyle name="Обычный 10 8 2 2" xfId="6042"/>
    <cellStyle name="Обычный 10 8 3" xfId="1282"/>
    <cellStyle name="Обычный 10 8 4" xfId="2279"/>
    <cellStyle name="Обычный 10 8 4 2" xfId="7528"/>
    <cellStyle name="Обычный 10 8 5" xfId="3035"/>
    <cellStyle name="Обычный 10 8 6" xfId="3776"/>
    <cellStyle name="Обычный 10 8 7" xfId="4517"/>
    <cellStyle name="Обычный 10 8 8" xfId="5258"/>
    <cellStyle name="Обычный 10 9" xfId="214"/>
    <cellStyle name="Обычный 10 9 2" xfId="325"/>
    <cellStyle name="Обычный 10 9 2 2" xfId="6043"/>
    <cellStyle name="Обычный 10 9 3" xfId="1283"/>
    <cellStyle name="Обычный 10 9 4" xfId="2280"/>
    <cellStyle name="Обычный 10 9 4 2" xfId="8311"/>
    <cellStyle name="Обычный 10 9 5" xfId="3036"/>
    <cellStyle name="Обычный 10 9 6" xfId="3777"/>
    <cellStyle name="Обычный 10 9 7" xfId="4518"/>
    <cellStyle name="Обычный 10 9 8" xfId="5259"/>
    <cellStyle name="Обычный 11" xfId="63"/>
    <cellStyle name="Обычный 11 10" xfId="236"/>
    <cellStyle name="Обычный 11 10 2" xfId="327"/>
    <cellStyle name="Обычный 11 10 2 2" xfId="6045"/>
    <cellStyle name="Обычный 11 10 3" xfId="1285"/>
    <cellStyle name="Обычный 11 10 4" xfId="2282"/>
    <cellStyle name="Обычный 11 10 4 2" xfId="7507"/>
    <cellStyle name="Обычный 11 10 5" xfId="3038"/>
    <cellStyle name="Обычный 11 10 6" xfId="3779"/>
    <cellStyle name="Обычный 11 10 7" xfId="4520"/>
    <cellStyle name="Обычный 11 10 8" xfId="5261"/>
    <cellStyle name="Обычный 11 11" xfId="328"/>
    <cellStyle name="Обычный 11 11 2" xfId="329"/>
    <cellStyle name="Обычный 11 11 2 2" xfId="1287"/>
    <cellStyle name="Обычный 11 11 3" xfId="1286"/>
    <cellStyle name="Обычный 11 12" xfId="330"/>
    <cellStyle name="Обычный 11 12 2" xfId="1288"/>
    <cellStyle name="Обычный 11 12 2 2" xfId="6048"/>
    <cellStyle name="Обычный 11 12 3" xfId="2283"/>
    <cellStyle name="Обычный 11 12 3 2" xfId="7346"/>
    <cellStyle name="Обычный 11 12 4" xfId="3039"/>
    <cellStyle name="Обычный 11 12 4 2" xfId="7529"/>
    <cellStyle name="Обычный 11 12 5" xfId="3780"/>
    <cellStyle name="Обычный 11 12 6" xfId="4521"/>
    <cellStyle name="Обычный 11 12 7" xfId="5262"/>
    <cellStyle name="Обычный 11 13" xfId="331"/>
    <cellStyle name="Обычный 11 13 2" xfId="1289"/>
    <cellStyle name="Обычный 11 13 2 2" xfId="6049"/>
    <cellStyle name="Обычный 11 13 3" xfId="2284"/>
    <cellStyle name="Обычный 11 13 3 2" xfId="7264"/>
    <cellStyle name="Обычный 11 13 4" xfId="3040"/>
    <cellStyle name="Обычный 11 13 4 2" xfId="8218"/>
    <cellStyle name="Обычный 11 13 5" xfId="3781"/>
    <cellStyle name="Обычный 11 13 6" xfId="4522"/>
    <cellStyle name="Обычный 11 13 7" xfId="5263"/>
    <cellStyle name="Обычный 11 14" xfId="332"/>
    <cellStyle name="Обычный 11 14 2" xfId="1290"/>
    <cellStyle name="Обычный 11 14 2 2" xfId="6050"/>
    <cellStyle name="Обычный 11 14 3" xfId="2285"/>
    <cellStyle name="Обычный 11 14 3 2" xfId="7067"/>
    <cellStyle name="Обычный 11 14 4" xfId="3041"/>
    <cellStyle name="Обычный 11 14 4 2" xfId="7456"/>
    <cellStyle name="Обычный 11 14 5" xfId="3782"/>
    <cellStyle name="Обычный 11 14 6" xfId="4523"/>
    <cellStyle name="Обычный 11 14 7" xfId="5264"/>
    <cellStyle name="Обычный 11 15" xfId="333"/>
    <cellStyle name="Обычный 11 15 2" xfId="1291"/>
    <cellStyle name="Обычный 11 15 2 2" xfId="6051"/>
    <cellStyle name="Обычный 11 15 3" xfId="2286"/>
    <cellStyle name="Обычный 11 15 3 2" xfId="6737"/>
    <cellStyle name="Обычный 11 15 4" xfId="3042"/>
    <cellStyle name="Обычный 11 15 4 2" xfId="7530"/>
    <cellStyle name="Обычный 11 15 5" xfId="3783"/>
    <cellStyle name="Обычный 11 15 6" xfId="4524"/>
    <cellStyle name="Обычный 11 15 7" xfId="5265"/>
    <cellStyle name="Обычный 11 16" xfId="334"/>
    <cellStyle name="Обычный 11 16 2" xfId="1292"/>
    <cellStyle name="Обычный 11 16 2 2" xfId="6052"/>
    <cellStyle name="Обычный 11 16 3" xfId="2287"/>
    <cellStyle name="Обычный 11 16 3 2" xfId="7302"/>
    <cellStyle name="Обычный 11 16 4" xfId="3043"/>
    <cellStyle name="Обычный 11 16 4 2" xfId="7531"/>
    <cellStyle name="Обычный 11 16 5" xfId="3784"/>
    <cellStyle name="Обычный 11 16 6" xfId="4525"/>
    <cellStyle name="Обычный 11 16 7" xfId="5266"/>
    <cellStyle name="Обычный 11 17" xfId="335"/>
    <cellStyle name="Обычный 11 17 2" xfId="1293"/>
    <cellStyle name="Обычный 11 17 2 2" xfId="6053"/>
    <cellStyle name="Обычный 11 17 3" xfId="2288"/>
    <cellStyle name="Обычный 11 17 3 2" xfId="7297"/>
    <cellStyle name="Обычный 11 17 4" xfId="3044"/>
    <cellStyle name="Обычный 11 17 4 2" xfId="7532"/>
    <cellStyle name="Обычный 11 17 5" xfId="3785"/>
    <cellStyle name="Обычный 11 17 6" xfId="4526"/>
    <cellStyle name="Обычный 11 17 7" xfId="5267"/>
    <cellStyle name="Обычный 11 18" xfId="336"/>
    <cellStyle name="Обычный 11 18 2" xfId="1294"/>
    <cellStyle name="Обычный 11 18 2 2" xfId="6054"/>
    <cellStyle name="Обычный 11 18 3" xfId="2289"/>
    <cellStyle name="Обычный 11 18 3 2" xfId="7262"/>
    <cellStyle name="Обычный 11 18 4" xfId="3045"/>
    <cellStyle name="Обычный 11 18 4 2" xfId="7533"/>
    <cellStyle name="Обычный 11 18 5" xfId="3786"/>
    <cellStyle name="Обычный 11 18 6" xfId="4527"/>
    <cellStyle name="Обычный 11 18 7" xfId="5268"/>
    <cellStyle name="Обычный 11 19" xfId="337"/>
    <cellStyle name="Обычный 11 19 2" xfId="1295"/>
    <cellStyle name="Обычный 11 19 2 2" xfId="6055"/>
    <cellStyle name="Обычный 11 19 3" xfId="2290"/>
    <cellStyle name="Обычный 11 19 3 2" xfId="7291"/>
    <cellStyle name="Обычный 11 19 4" xfId="3046"/>
    <cellStyle name="Обычный 11 19 4 2" xfId="7387"/>
    <cellStyle name="Обычный 11 19 5" xfId="3787"/>
    <cellStyle name="Обычный 11 19 6" xfId="4528"/>
    <cellStyle name="Обычный 11 19 7" xfId="5269"/>
    <cellStyle name="Обычный 11 2" xfId="77"/>
    <cellStyle name="Обычный 11 2 2" xfId="338"/>
    <cellStyle name="Обычный 11 2 2 2" xfId="1297"/>
    <cellStyle name="Обычный 11 2 2 2 2" xfId="6844"/>
    <cellStyle name="Обычный 11 2 2 3" xfId="2932"/>
    <cellStyle name="Обычный 11 2 2 3 2" xfId="6724"/>
    <cellStyle name="Обычный 11 2 2 4" xfId="3673"/>
    <cellStyle name="Обычный 11 2 2 4 2" xfId="7536"/>
    <cellStyle name="Обычный 11 2 2 5" xfId="4414"/>
    <cellStyle name="Обычный 11 2 2 6" xfId="5155"/>
    <cellStyle name="Обычный 11 2 2 7" xfId="5896"/>
    <cellStyle name="Обычный 11 2 3" xfId="1296"/>
    <cellStyle name="Обычный 11 2 3 2" xfId="6056"/>
    <cellStyle name="Обычный 11 2 4" xfId="2291"/>
    <cellStyle name="Обычный 11 2 4 2" xfId="7213"/>
    <cellStyle name="Обычный 11 2 5" xfId="3047"/>
    <cellStyle name="Обычный 11 2 5 2" xfId="7535"/>
    <cellStyle name="Обычный 11 2 6" xfId="3788"/>
    <cellStyle name="Обычный 11 2 7" xfId="4529"/>
    <cellStyle name="Обычный 11 2 8" xfId="5270"/>
    <cellStyle name="Обычный 11 20" xfId="339"/>
    <cellStyle name="Обычный 11 20 2" xfId="1298"/>
    <cellStyle name="Обычный 11 20 2 2" xfId="6057"/>
    <cellStyle name="Обычный 11 20 3" xfId="2292"/>
    <cellStyle name="Обычный 11 20 3 2" xfId="6727"/>
    <cellStyle name="Обычный 11 20 4" xfId="3048"/>
    <cellStyle name="Обычный 11 20 4 2" xfId="7537"/>
    <cellStyle name="Обычный 11 20 5" xfId="3789"/>
    <cellStyle name="Обычный 11 20 6" xfId="4530"/>
    <cellStyle name="Обычный 11 20 7" xfId="5271"/>
    <cellStyle name="Обычный 11 21" xfId="340"/>
    <cellStyle name="Обычный 11 21 2" xfId="1299"/>
    <cellStyle name="Обычный 11 21 2 2" xfId="6058"/>
    <cellStyle name="Обычный 11 21 3" xfId="2293"/>
    <cellStyle name="Обычный 11 21 3 2" xfId="7118"/>
    <cellStyle name="Обычный 11 21 4" xfId="3049"/>
    <cellStyle name="Обычный 11 21 4 2" xfId="7538"/>
    <cellStyle name="Обычный 11 21 5" xfId="3790"/>
    <cellStyle name="Обычный 11 21 6" xfId="4531"/>
    <cellStyle name="Обычный 11 21 7" xfId="5272"/>
    <cellStyle name="Обычный 11 22" xfId="341"/>
    <cellStyle name="Обычный 11 22 2" xfId="1300"/>
    <cellStyle name="Обычный 11 22 2 2" xfId="6059"/>
    <cellStyle name="Обычный 11 22 3" xfId="2294"/>
    <cellStyle name="Обычный 11 22 3 2" xfId="7117"/>
    <cellStyle name="Обычный 11 22 4" xfId="3050"/>
    <cellStyle name="Обычный 11 22 4 2" xfId="7539"/>
    <cellStyle name="Обычный 11 22 5" xfId="3791"/>
    <cellStyle name="Обычный 11 22 6" xfId="4532"/>
    <cellStyle name="Обычный 11 22 7" xfId="5273"/>
    <cellStyle name="Обычный 11 23" xfId="342"/>
    <cellStyle name="Обычный 11 23 2" xfId="1301"/>
    <cellStyle name="Обычный 11 23 2 2" xfId="6060"/>
    <cellStyle name="Обычный 11 23 3" xfId="2295"/>
    <cellStyle name="Обычный 11 23 3 2" xfId="6375"/>
    <cellStyle name="Обычный 11 23 4" xfId="3051"/>
    <cellStyle name="Обычный 11 23 4 2" xfId="7540"/>
    <cellStyle name="Обычный 11 23 5" xfId="3792"/>
    <cellStyle name="Обычный 11 23 6" xfId="4533"/>
    <cellStyle name="Обычный 11 23 7" xfId="5274"/>
    <cellStyle name="Обычный 11 24" xfId="343"/>
    <cellStyle name="Обычный 11 24 2" xfId="1302"/>
    <cellStyle name="Обычный 11 24 2 2" xfId="6061"/>
    <cellStyle name="Обычный 11 24 3" xfId="2296"/>
    <cellStyle name="Обычный 11 24 3 2" xfId="7172"/>
    <cellStyle name="Обычный 11 24 4" xfId="3052"/>
    <cellStyle name="Обычный 11 24 4 2" xfId="7541"/>
    <cellStyle name="Обычный 11 24 5" xfId="3793"/>
    <cellStyle name="Обычный 11 24 6" xfId="4534"/>
    <cellStyle name="Обычный 11 24 7" xfId="5275"/>
    <cellStyle name="Обычный 11 25" xfId="344"/>
    <cellStyle name="Обычный 11 25 2" xfId="1303"/>
    <cellStyle name="Обычный 11 25 2 2" xfId="6062"/>
    <cellStyle name="Обычный 11 25 3" xfId="2297"/>
    <cellStyle name="Обычный 11 25 3 2" xfId="7116"/>
    <cellStyle name="Обычный 11 25 4" xfId="3053"/>
    <cellStyle name="Обычный 11 25 4 2" xfId="7542"/>
    <cellStyle name="Обычный 11 25 5" xfId="3794"/>
    <cellStyle name="Обычный 11 25 6" xfId="4535"/>
    <cellStyle name="Обычный 11 25 7" xfId="5276"/>
    <cellStyle name="Обычный 11 26" xfId="345"/>
    <cellStyle name="Обычный 11 26 2" xfId="1304"/>
    <cellStyle name="Обычный 11 26 2 2" xfId="6063"/>
    <cellStyle name="Обычный 11 26 3" xfId="2298"/>
    <cellStyle name="Обычный 11 26 3 2" xfId="6391"/>
    <cellStyle name="Обычный 11 26 4" xfId="3054"/>
    <cellStyle name="Обычный 11 26 4 2" xfId="7543"/>
    <cellStyle name="Обычный 11 26 5" xfId="3795"/>
    <cellStyle name="Обычный 11 26 6" xfId="4536"/>
    <cellStyle name="Обычный 11 26 7" xfId="5277"/>
    <cellStyle name="Обычный 11 27" xfId="346"/>
    <cellStyle name="Обычный 11 27 2" xfId="1305"/>
    <cellStyle name="Обычный 11 27 2 2" xfId="6064"/>
    <cellStyle name="Обычный 11 27 3" xfId="2299"/>
    <cellStyle name="Обычный 11 27 3 2" xfId="6389"/>
    <cellStyle name="Обычный 11 27 4" xfId="3055"/>
    <cellStyle name="Обычный 11 27 4 2" xfId="7544"/>
    <cellStyle name="Обычный 11 27 5" xfId="3796"/>
    <cellStyle name="Обычный 11 27 6" xfId="4537"/>
    <cellStyle name="Обычный 11 27 7" xfId="5278"/>
    <cellStyle name="Обычный 11 28" xfId="326"/>
    <cellStyle name="Обычный 11 28 2" xfId="1306"/>
    <cellStyle name="Обычный 11 28 2 2" xfId="6796"/>
    <cellStyle name="Обычный 11 28 3" xfId="2884"/>
    <cellStyle name="Обычный 11 28 3 2" xfId="7152"/>
    <cellStyle name="Обычный 11 28 4" xfId="3625"/>
    <cellStyle name="Обычный 11 28 4 2" xfId="7545"/>
    <cellStyle name="Обычный 11 28 5" xfId="4366"/>
    <cellStyle name="Обычный 11 28 6" xfId="5107"/>
    <cellStyle name="Обычный 11 28 7" xfId="5848"/>
    <cellStyle name="Обычный 11 29" xfId="1307"/>
    <cellStyle name="Обычный 11 29 2" xfId="2896"/>
    <cellStyle name="Обычный 11 29 2 2" xfId="6808"/>
    <cellStyle name="Обычный 11 29 3" xfId="3637"/>
    <cellStyle name="Обычный 11 29 3 2" xfId="7278"/>
    <cellStyle name="Обычный 11 29 4" xfId="4378"/>
    <cellStyle name="Обычный 11 29 4 2" xfId="7546"/>
    <cellStyle name="Обычный 11 29 5" xfId="5119"/>
    <cellStyle name="Обычный 11 29 6" xfId="5860"/>
    <cellStyle name="Обычный 11 3" xfId="109"/>
    <cellStyle name="Обычный 11 3 2" xfId="347"/>
    <cellStyle name="Обычный 11 3 2 2" xfId="1309"/>
    <cellStyle name="Обычный 11 3 2 2 2" xfId="6832"/>
    <cellStyle name="Обычный 11 3 2 3" xfId="2920"/>
    <cellStyle name="Обычный 11 3 2 3 2" xfId="7199"/>
    <cellStyle name="Обычный 11 3 2 4" xfId="3661"/>
    <cellStyle name="Обычный 11 3 2 4 2" xfId="7547"/>
    <cellStyle name="Обычный 11 3 2 5" xfId="4402"/>
    <cellStyle name="Обычный 11 3 2 6" xfId="5143"/>
    <cellStyle name="Обычный 11 3 2 7" xfId="5884"/>
    <cellStyle name="Обычный 11 3 3" xfId="1308"/>
    <cellStyle name="Обычный 11 3 3 2" xfId="6065"/>
    <cellStyle name="Обычный 11 3 4" xfId="2300"/>
    <cellStyle name="Обычный 11 3 4 2" xfId="6750"/>
    <cellStyle name="Обычный 11 3 5" xfId="3056"/>
    <cellStyle name="Обычный 11 3 5 2" xfId="8324"/>
    <cellStyle name="Обычный 11 3 6" xfId="3797"/>
    <cellStyle name="Обычный 11 3 7" xfId="4538"/>
    <cellStyle name="Обычный 11 3 8" xfId="5279"/>
    <cellStyle name="Обычный 11 30" xfId="1310"/>
    <cellStyle name="Обычный 11 30 2" xfId="2908"/>
    <cellStyle name="Обычный 11 30 2 2" xfId="6820"/>
    <cellStyle name="Обычный 11 30 3" xfId="3649"/>
    <cellStyle name="Обычный 11 30 3 2" xfId="6395"/>
    <cellStyle name="Обычный 11 30 4" xfId="4390"/>
    <cellStyle name="Обычный 11 30 4 2" xfId="7548"/>
    <cellStyle name="Обычный 11 30 5" xfId="5131"/>
    <cellStyle name="Обычный 11 30 6" xfId="5872"/>
    <cellStyle name="Обычный 11 31" xfId="1311"/>
    <cellStyle name="Обычный 11 31 2" xfId="2281"/>
    <cellStyle name="Обычный 11 31 2 2" xfId="6044"/>
    <cellStyle name="Обычный 11 31 3" xfId="3037"/>
    <cellStyle name="Обычный 11 31 3 2" xfId="7316"/>
    <cellStyle name="Обычный 11 31 4" xfId="3778"/>
    <cellStyle name="Обычный 11 31 4 2" xfId="7421"/>
    <cellStyle name="Обычный 11 31 5" xfId="4519"/>
    <cellStyle name="Обычный 11 31 6" xfId="5260"/>
    <cellStyle name="Обычный 11 32" xfId="1284"/>
    <cellStyle name="Обычный 11 32 2" xfId="5934"/>
    <cellStyle name="Обычный 11 33" xfId="2208"/>
    <cellStyle name="Обычный 11 33 2" xfId="7120"/>
    <cellStyle name="Обычный 11 34" xfId="2957"/>
    <cellStyle name="Обычный 11 35" xfId="3698"/>
    <cellStyle name="Обычный 11 36" xfId="4439"/>
    <cellStyle name="Обычный 11 37" xfId="5185"/>
    <cellStyle name="Обычный 11 4" xfId="129"/>
    <cellStyle name="Обычный 11 4 2" xfId="348"/>
    <cellStyle name="Обычный 11 4 2 2" xfId="6066"/>
    <cellStyle name="Обычный 11 4 3" xfId="1312"/>
    <cellStyle name="Обычный 11 4 4" xfId="2301"/>
    <cellStyle name="Обычный 11 4 4 2" xfId="7549"/>
    <cellStyle name="Обычный 11 4 5" xfId="3057"/>
    <cellStyle name="Обычный 11 4 6" xfId="3798"/>
    <cellStyle name="Обычный 11 4 7" xfId="4539"/>
    <cellStyle name="Обычный 11 4 8" xfId="5280"/>
    <cellStyle name="Обычный 11 5" xfId="158"/>
    <cellStyle name="Обычный 11 5 2" xfId="349"/>
    <cellStyle name="Обычный 11 5 2 2" xfId="6067"/>
    <cellStyle name="Обычный 11 5 3" xfId="1313"/>
    <cellStyle name="Обычный 11 5 4" xfId="2302"/>
    <cellStyle name="Обычный 11 5 4 2" xfId="7550"/>
    <cellStyle name="Обычный 11 5 5" xfId="3058"/>
    <cellStyle name="Обычный 11 5 6" xfId="3799"/>
    <cellStyle name="Обычный 11 5 7" xfId="4540"/>
    <cellStyle name="Обычный 11 5 8" xfId="5281"/>
    <cellStyle name="Обычный 11 6" xfId="173"/>
    <cellStyle name="Обычный 11 6 2" xfId="350"/>
    <cellStyle name="Обычный 11 6 2 2" xfId="6068"/>
    <cellStyle name="Обычный 11 6 3" xfId="1314"/>
    <cellStyle name="Обычный 11 6 4" xfId="2303"/>
    <cellStyle name="Обычный 11 6 4 2" xfId="7551"/>
    <cellStyle name="Обычный 11 6 5" xfId="3059"/>
    <cellStyle name="Обычный 11 6 6" xfId="3800"/>
    <cellStyle name="Обычный 11 6 7" xfId="4541"/>
    <cellStyle name="Обычный 11 6 8" xfId="5282"/>
    <cellStyle name="Обычный 11 7" xfId="194"/>
    <cellStyle name="Обычный 11 7 2" xfId="351"/>
    <cellStyle name="Обычный 11 7 2 2" xfId="6069"/>
    <cellStyle name="Обычный 11 7 3" xfId="1315"/>
    <cellStyle name="Обычный 11 7 4" xfId="2304"/>
    <cellStyle name="Обычный 11 7 4 2" xfId="7552"/>
    <cellStyle name="Обычный 11 7 5" xfId="3060"/>
    <cellStyle name="Обычный 11 7 6" xfId="3801"/>
    <cellStyle name="Обычный 11 7 7" xfId="4542"/>
    <cellStyle name="Обычный 11 7 8" xfId="5283"/>
    <cellStyle name="Обычный 11 8" xfId="208"/>
    <cellStyle name="Обычный 11 8 2" xfId="352"/>
    <cellStyle name="Обычный 11 8 2 2" xfId="6070"/>
    <cellStyle name="Обычный 11 8 3" xfId="1316"/>
    <cellStyle name="Обычный 11 8 4" xfId="2305"/>
    <cellStyle name="Обычный 11 8 4 2" xfId="7553"/>
    <cellStyle name="Обычный 11 8 5" xfId="3061"/>
    <cellStyle name="Обычный 11 8 6" xfId="3802"/>
    <cellStyle name="Обычный 11 8 7" xfId="4543"/>
    <cellStyle name="Обычный 11 8 8" xfId="5284"/>
    <cellStyle name="Обычный 11 9" xfId="215"/>
    <cellStyle name="Обычный 11 9 2" xfId="353"/>
    <cellStyle name="Обычный 11 9 2 2" xfId="6071"/>
    <cellStyle name="Обычный 11 9 3" xfId="1317"/>
    <cellStyle name="Обычный 11 9 4" xfId="2306"/>
    <cellStyle name="Обычный 11 9 4 2" xfId="7554"/>
    <cellStyle name="Обычный 11 9 5" xfId="3062"/>
    <cellStyle name="Обычный 11 9 6" xfId="3803"/>
    <cellStyle name="Обычный 11 9 7" xfId="4544"/>
    <cellStyle name="Обычный 11 9 8" xfId="5285"/>
    <cellStyle name="Обычный 12" xfId="6"/>
    <cellStyle name="Обычный 12 10" xfId="238"/>
    <cellStyle name="Обычный 12 10 2" xfId="355"/>
    <cellStyle name="Обычный 12 10 2 2" xfId="6073"/>
    <cellStyle name="Обычный 12 10 3" xfId="1319"/>
    <cellStyle name="Обычный 12 10 4" xfId="2308"/>
    <cellStyle name="Обычный 12 10 4 2" xfId="8293"/>
    <cellStyle name="Обычный 12 10 5" xfId="3064"/>
    <cellStyle name="Обычный 12 10 6" xfId="3805"/>
    <cellStyle name="Обычный 12 10 7" xfId="4546"/>
    <cellStyle name="Обычный 12 10 8" xfId="5287"/>
    <cellStyle name="Обычный 12 11" xfId="65"/>
    <cellStyle name="Обычный 12 11 2" xfId="357"/>
    <cellStyle name="Обычный 12 11 2 2" xfId="1321"/>
    <cellStyle name="Обычный 12 11 3" xfId="356"/>
    <cellStyle name="Обычный 12 11 3 2" xfId="7267"/>
    <cellStyle name="Обычный 12 11 4" xfId="1320"/>
    <cellStyle name="Обычный 12 12" xfId="358"/>
    <cellStyle name="Обычный 12 12 2" xfId="1322"/>
    <cellStyle name="Обычный 12 12 2 2" xfId="6076"/>
    <cellStyle name="Обычный 12 12 3" xfId="2309"/>
    <cellStyle name="Обычный 12 12 3 2" xfId="7114"/>
    <cellStyle name="Обычный 12 12 4" xfId="3065"/>
    <cellStyle name="Обычный 12 12 4 2" xfId="8303"/>
    <cellStyle name="Обычный 12 12 5" xfId="3806"/>
    <cellStyle name="Обычный 12 12 6" xfId="4547"/>
    <cellStyle name="Обычный 12 12 7" xfId="5288"/>
    <cellStyle name="Обычный 12 13" xfId="359"/>
    <cellStyle name="Обычный 12 13 2" xfId="1323"/>
    <cellStyle name="Обычный 12 13 2 2" xfId="6077"/>
    <cellStyle name="Обычный 12 13 3" xfId="2310"/>
    <cellStyle name="Обычный 12 13 3 2" xfId="7254"/>
    <cellStyle name="Обычный 12 13 4" xfId="3066"/>
    <cellStyle name="Обычный 12 13 4 2" xfId="7534"/>
    <cellStyle name="Обычный 12 13 5" xfId="3807"/>
    <cellStyle name="Обычный 12 13 6" xfId="4548"/>
    <cellStyle name="Обычный 12 13 7" xfId="5289"/>
    <cellStyle name="Обычный 12 14" xfId="360"/>
    <cellStyle name="Обычный 12 14 2" xfId="1324"/>
    <cellStyle name="Обычный 12 14 2 2" xfId="6078"/>
    <cellStyle name="Обычный 12 14 3" xfId="2311"/>
    <cellStyle name="Обычный 12 14 3 2" xfId="7113"/>
    <cellStyle name="Обычный 12 14 4" xfId="3067"/>
    <cellStyle name="Обычный 12 14 4 2" xfId="7555"/>
    <cellStyle name="Обычный 12 14 5" xfId="3808"/>
    <cellStyle name="Обычный 12 14 6" xfId="4549"/>
    <cellStyle name="Обычный 12 14 7" xfId="5290"/>
    <cellStyle name="Обычный 12 15" xfId="361"/>
    <cellStyle name="Обычный 12 15 2" xfId="1325"/>
    <cellStyle name="Обычный 12 15 2 2" xfId="6079"/>
    <cellStyle name="Обычный 12 15 3" xfId="2312"/>
    <cellStyle name="Обычный 12 15 3 2" xfId="6747"/>
    <cellStyle name="Обычный 12 15 4" xfId="3068"/>
    <cellStyle name="Обычный 12 15 4 2" xfId="7556"/>
    <cellStyle name="Обычный 12 15 5" xfId="3809"/>
    <cellStyle name="Обычный 12 15 6" xfId="4550"/>
    <cellStyle name="Обычный 12 15 7" xfId="5291"/>
    <cellStyle name="Обычный 12 16" xfId="362"/>
    <cellStyle name="Обычный 12 16 2" xfId="1326"/>
    <cellStyle name="Обычный 12 16 2 2" xfId="6080"/>
    <cellStyle name="Обычный 12 16 3" xfId="2313"/>
    <cellStyle name="Обычный 12 16 3 2" xfId="7112"/>
    <cellStyle name="Обычный 12 16 4" xfId="3069"/>
    <cellStyle name="Обычный 12 16 4 2" xfId="7557"/>
    <cellStyle name="Обычный 12 16 5" xfId="3810"/>
    <cellStyle name="Обычный 12 16 6" xfId="4551"/>
    <cellStyle name="Обычный 12 16 7" xfId="5292"/>
    <cellStyle name="Обычный 12 17" xfId="363"/>
    <cellStyle name="Обычный 12 17 2" xfId="1327"/>
    <cellStyle name="Обычный 12 17 2 2" xfId="6081"/>
    <cellStyle name="Обычный 12 17 3" xfId="2314"/>
    <cellStyle name="Обычный 12 17 3 2" xfId="7286"/>
    <cellStyle name="Обычный 12 17 4" xfId="3070"/>
    <cellStyle name="Обычный 12 17 4 2" xfId="7558"/>
    <cellStyle name="Обычный 12 17 5" xfId="3811"/>
    <cellStyle name="Обычный 12 17 6" xfId="4552"/>
    <cellStyle name="Обычный 12 17 7" xfId="5293"/>
    <cellStyle name="Обычный 12 18" xfId="364"/>
    <cellStyle name="Обычный 12 18 2" xfId="1328"/>
    <cellStyle name="Обычный 12 18 2 2" xfId="6082"/>
    <cellStyle name="Обычный 12 18 3" xfId="2315"/>
    <cellStyle name="Обычный 12 18 3 2" xfId="7111"/>
    <cellStyle name="Обычный 12 18 4" xfId="3071"/>
    <cellStyle name="Обычный 12 18 4 2" xfId="7559"/>
    <cellStyle name="Обычный 12 18 5" xfId="3812"/>
    <cellStyle name="Обычный 12 18 6" xfId="4553"/>
    <cellStyle name="Обычный 12 18 7" xfId="5294"/>
    <cellStyle name="Обычный 12 19" xfId="365"/>
    <cellStyle name="Обычный 12 19 2" xfId="1329"/>
    <cellStyle name="Обычный 12 19 2 2" xfId="6083"/>
    <cellStyle name="Обычный 12 19 3" xfId="2316"/>
    <cellStyle name="Обычный 12 19 3 2" xfId="7225"/>
    <cellStyle name="Обычный 12 19 4" xfId="3072"/>
    <cellStyle name="Обычный 12 19 4 2" xfId="7560"/>
    <cellStyle name="Обычный 12 19 5" xfId="3813"/>
    <cellStyle name="Обычный 12 19 6" xfId="4554"/>
    <cellStyle name="Обычный 12 19 7" xfId="5295"/>
    <cellStyle name="Обычный 12 2" xfId="79"/>
    <cellStyle name="Обычный 12 2 2" xfId="366"/>
    <cellStyle name="Обычный 12 2 2 2" xfId="1331"/>
    <cellStyle name="Обычный 12 2 2 2 2" xfId="6846"/>
    <cellStyle name="Обычный 12 2 2 3" xfId="2934"/>
    <cellStyle name="Обычный 12 2 2 3 2" xfId="7263"/>
    <cellStyle name="Обычный 12 2 2 4" xfId="3675"/>
    <cellStyle name="Обычный 12 2 2 4 2" xfId="7562"/>
    <cellStyle name="Обычный 12 2 2 5" xfId="4416"/>
    <cellStyle name="Обычный 12 2 2 6" xfId="5157"/>
    <cellStyle name="Обычный 12 2 2 7" xfId="5898"/>
    <cellStyle name="Обычный 12 2 3" xfId="1330"/>
    <cellStyle name="Обычный 12 2 3 2" xfId="6084"/>
    <cellStyle name="Обычный 12 2 4" xfId="2317"/>
    <cellStyle name="Обычный 12 2 4 2" xfId="7110"/>
    <cellStyle name="Обычный 12 2 5" xfId="3073"/>
    <cellStyle name="Обычный 12 2 5 2" xfId="7561"/>
    <cellStyle name="Обычный 12 2 6" xfId="3814"/>
    <cellStyle name="Обычный 12 2 7" xfId="4555"/>
    <cellStyle name="Обычный 12 2 8" xfId="5296"/>
    <cellStyle name="Обычный 12 20" xfId="367"/>
    <cellStyle name="Обычный 12 20 2" xfId="1332"/>
    <cellStyle name="Обычный 12 20 2 2" xfId="6085"/>
    <cellStyle name="Обычный 12 20 3" xfId="2318"/>
    <cellStyle name="Обычный 12 20 3 2" xfId="7109"/>
    <cellStyle name="Обычный 12 20 4" xfId="3074"/>
    <cellStyle name="Обычный 12 20 4 2" xfId="8258"/>
    <cellStyle name="Обычный 12 20 5" xfId="3815"/>
    <cellStyle name="Обычный 12 20 6" xfId="4556"/>
    <cellStyle name="Обычный 12 20 7" xfId="5297"/>
    <cellStyle name="Обычный 12 21" xfId="368"/>
    <cellStyle name="Обычный 12 21 2" xfId="1333"/>
    <cellStyle name="Обычный 12 21 2 2" xfId="6086"/>
    <cellStyle name="Обычный 12 21 3" xfId="2319"/>
    <cellStyle name="Обычный 12 21 3 2" xfId="6370"/>
    <cellStyle name="Обычный 12 21 4" xfId="3075"/>
    <cellStyle name="Обычный 12 21 4 2" xfId="7362"/>
    <cellStyle name="Обычный 12 21 5" xfId="3816"/>
    <cellStyle name="Обычный 12 21 6" xfId="4557"/>
    <cellStyle name="Обычный 12 21 7" xfId="5298"/>
    <cellStyle name="Обычный 12 22" xfId="369"/>
    <cellStyle name="Обычный 12 22 2" xfId="1334"/>
    <cellStyle name="Обычный 12 22 2 2" xfId="6087"/>
    <cellStyle name="Обычный 12 22 3" xfId="2320"/>
    <cellStyle name="Обычный 12 22 3 2" xfId="7355"/>
    <cellStyle name="Обычный 12 22 4" xfId="3076"/>
    <cellStyle name="Обычный 12 22 4 2" xfId="8338"/>
    <cellStyle name="Обычный 12 22 5" xfId="3817"/>
    <cellStyle name="Обычный 12 22 6" xfId="4558"/>
    <cellStyle name="Обычный 12 22 7" xfId="5299"/>
    <cellStyle name="Обычный 12 23" xfId="370"/>
    <cellStyle name="Обычный 12 23 2" xfId="1335"/>
    <cellStyle name="Обычный 12 23 2 2" xfId="6088"/>
    <cellStyle name="Обычный 12 23 3" xfId="2321"/>
    <cellStyle name="Обычный 12 23 3 2" xfId="7187"/>
    <cellStyle name="Обычный 12 23 4" xfId="3077"/>
    <cellStyle name="Обычный 12 23 4 2" xfId="7563"/>
    <cellStyle name="Обычный 12 23 5" xfId="3818"/>
    <cellStyle name="Обычный 12 23 6" xfId="4559"/>
    <cellStyle name="Обычный 12 23 7" xfId="5300"/>
    <cellStyle name="Обычный 12 24" xfId="371"/>
    <cellStyle name="Обычный 12 24 2" xfId="1336"/>
    <cellStyle name="Обычный 12 24 2 2" xfId="6089"/>
    <cellStyle name="Обычный 12 24 3" xfId="2322"/>
    <cellStyle name="Обычный 12 24 3 2" xfId="7214"/>
    <cellStyle name="Обычный 12 24 4" xfId="3078"/>
    <cellStyle name="Обычный 12 24 4 2" xfId="7564"/>
    <cellStyle name="Обычный 12 24 5" xfId="3819"/>
    <cellStyle name="Обычный 12 24 6" xfId="4560"/>
    <cellStyle name="Обычный 12 24 7" xfId="5301"/>
    <cellStyle name="Обычный 12 25" xfId="372"/>
    <cellStyle name="Обычный 12 25 2" xfId="1337"/>
    <cellStyle name="Обычный 12 25 2 2" xfId="6090"/>
    <cellStyle name="Обычный 12 25 3" xfId="2323"/>
    <cellStyle name="Обычный 12 25 3 2" xfId="6622"/>
    <cellStyle name="Обычный 12 25 4" xfId="3079"/>
    <cellStyle name="Обычный 12 25 4 2" xfId="7363"/>
    <cellStyle name="Обычный 12 25 5" xfId="3820"/>
    <cellStyle name="Обычный 12 25 6" xfId="4561"/>
    <cellStyle name="Обычный 12 25 7" xfId="5302"/>
    <cellStyle name="Обычный 12 26" xfId="373"/>
    <cellStyle name="Обычный 12 26 2" xfId="1338"/>
    <cellStyle name="Обычный 12 26 2 2" xfId="6091"/>
    <cellStyle name="Обычный 12 26 3" xfId="2324"/>
    <cellStyle name="Обычный 12 26 3 2" xfId="6719"/>
    <cellStyle name="Обычный 12 26 4" xfId="3080"/>
    <cellStyle name="Обычный 12 26 4 2" xfId="7566"/>
    <cellStyle name="Обычный 12 26 5" xfId="3821"/>
    <cellStyle name="Обычный 12 26 6" xfId="4562"/>
    <cellStyle name="Обычный 12 26 7" xfId="5303"/>
    <cellStyle name="Обычный 12 27" xfId="374"/>
    <cellStyle name="Обычный 12 27 2" xfId="1339"/>
    <cellStyle name="Обычный 12 27 2 2" xfId="6092"/>
    <cellStyle name="Обычный 12 27 3" xfId="2325"/>
    <cellStyle name="Обычный 12 27 3 2" xfId="7186"/>
    <cellStyle name="Обычный 12 27 4" xfId="3081"/>
    <cellStyle name="Обычный 12 27 4 2" xfId="7567"/>
    <cellStyle name="Обычный 12 27 5" xfId="3822"/>
    <cellStyle name="Обычный 12 27 6" xfId="4563"/>
    <cellStyle name="Обычный 12 27 7" xfId="5304"/>
    <cellStyle name="Обычный 12 28" xfId="354"/>
    <cellStyle name="Обычный 12 28 2" xfId="1340"/>
    <cellStyle name="Обычный 12 28 2 2" xfId="6798"/>
    <cellStyle name="Обычный 12 28 3" xfId="2886"/>
    <cellStyle name="Обычный 12 28 3 2" xfId="7115"/>
    <cellStyle name="Обычный 12 28 4" xfId="3627"/>
    <cellStyle name="Обычный 12 28 4 2" xfId="7568"/>
    <cellStyle name="Обычный 12 28 5" xfId="4368"/>
    <cellStyle name="Обычный 12 28 6" xfId="5109"/>
    <cellStyle name="Обычный 12 28 7" xfId="5850"/>
    <cellStyle name="Обычный 12 29" xfId="1341"/>
    <cellStyle name="Обычный 12 29 2" xfId="2898"/>
    <cellStyle name="Обычный 12 29 2 2" xfId="6810"/>
    <cellStyle name="Обычный 12 29 3" xfId="3639"/>
    <cellStyle name="Обычный 12 29 3 2" xfId="7108"/>
    <cellStyle name="Обычный 12 29 4" xfId="4380"/>
    <cellStyle name="Обычный 12 29 4 2" xfId="7569"/>
    <cellStyle name="Обычный 12 29 5" xfId="5121"/>
    <cellStyle name="Обычный 12 29 6" xfId="5862"/>
    <cellStyle name="Обычный 12 3" xfId="101"/>
    <cellStyle name="Обычный 12 3 2" xfId="375"/>
    <cellStyle name="Обычный 12 3 2 2" xfId="1343"/>
    <cellStyle name="Обычный 12 3 2 2 2" xfId="6834"/>
    <cellStyle name="Обычный 12 3 2 3" xfId="2922"/>
    <cellStyle name="Обычный 12 3 2 3 2" xfId="7106"/>
    <cellStyle name="Обычный 12 3 2 4" xfId="3663"/>
    <cellStyle name="Обычный 12 3 2 4 2" xfId="7402"/>
    <cellStyle name="Обычный 12 3 2 5" xfId="4404"/>
    <cellStyle name="Обычный 12 3 2 6" xfId="5145"/>
    <cellStyle name="Обычный 12 3 2 7" xfId="5886"/>
    <cellStyle name="Обычный 12 3 3" xfId="1342"/>
    <cellStyle name="Обычный 12 3 3 2" xfId="6093"/>
    <cellStyle name="Обычный 12 3 4" xfId="2326"/>
    <cellStyle name="Обычный 12 3 4 2" xfId="7107"/>
    <cellStyle name="Обычный 12 3 5" xfId="3082"/>
    <cellStyle name="Обычный 12 3 5 2" xfId="7570"/>
    <cellStyle name="Обычный 12 3 6" xfId="3823"/>
    <cellStyle name="Обычный 12 3 7" xfId="4564"/>
    <cellStyle name="Обычный 12 3 8" xfId="5305"/>
    <cellStyle name="Обычный 12 30" xfId="1344"/>
    <cellStyle name="Обычный 12 30 2" xfId="2910"/>
    <cellStyle name="Обычный 12 30 2 2" xfId="6822"/>
    <cellStyle name="Обычный 12 30 3" xfId="3651"/>
    <cellStyle name="Обычный 12 30 3 2" xfId="7283"/>
    <cellStyle name="Обычный 12 30 4" xfId="4392"/>
    <cellStyle name="Обычный 12 30 4 2" xfId="7571"/>
    <cellStyle name="Обычный 12 30 5" xfId="5133"/>
    <cellStyle name="Обычный 12 30 6" xfId="5874"/>
    <cellStyle name="Обычный 12 31" xfId="1345"/>
    <cellStyle name="Обычный 12 31 2" xfId="2307"/>
    <cellStyle name="Обычный 12 31 2 2" xfId="6072"/>
    <cellStyle name="Обычный 12 31 3" xfId="3063"/>
    <cellStyle name="Обычный 12 31 3 2" xfId="7104"/>
    <cellStyle name="Обычный 12 31 4" xfId="3804"/>
    <cellStyle name="Обычный 12 31 4 2" xfId="7572"/>
    <cellStyle name="Обычный 12 31 5" xfId="4545"/>
    <cellStyle name="Обычный 12 31 6" xfId="5286"/>
    <cellStyle name="Обычный 12 32" xfId="1318"/>
    <cellStyle name="Обычный 12 32 2" xfId="5936"/>
    <cellStyle name="Обычный 12 33" xfId="2210"/>
    <cellStyle name="Обычный 12 33 2" xfId="7331"/>
    <cellStyle name="Обычный 12 34" xfId="2959"/>
    <cellStyle name="Обычный 12 35" xfId="3700"/>
    <cellStyle name="Обычный 12 36" xfId="4441"/>
    <cellStyle name="Обычный 12 37" xfId="5187"/>
    <cellStyle name="Обычный 12 4" xfId="131"/>
    <cellStyle name="Обычный 12 4 2" xfId="376"/>
    <cellStyle name="Обычный 12 4 2 2" xfId="6094"/>
    <cellStyle name="Обычный 12 4 3" xfId="1346"/>
    <cellStyle name="Обычный 12 4 4" xfId="2327"/>
    <cellStyle name="Обычный 12 4 4 2" xfId="7433"/>
    <cellStyle name="Обычный 12 4 5" xfId="3083"/>
    <cellStyle name="Обычный 12 4 6" xfId="3824"/>
    <cellStyle name="Обычный 12 4 7" xfId="4565"/>
    <cellStyle name="Обычный 12 4 8" xfId="5306"/>
    <cellStyle name="Обычный 12 5" xfId="160"/>
    <cellStyle name="Обычный 12 5 2" xfId="377"/>
    <cellStyle name="Обычный 12 5 2 2" xfId="6095"/>
    <cellStyle name="Обычный 12 5 3" xfId="1347"/>
    <cellStyle name="Обычный 12 5 4" xfId="2328"/>
    <cellStyle name="Обычный 12 5 4 2" xfId="7439"/>
    <cellStyle name="Обычный 12 5 5" xfId="3084"/>
    <cellStyle name="Обычный 12 5 6" xfId="3825"/>
    <cellStyle name="Обычный 12 5 7" xfId="4566"/>
    <cellStyle name="Обычный 12 5 8" xfId="5307"/>
    <cellStyle name="Обычный 12 6" xfId="175"/>
    <cellStyle name="Обычный 12 6 2" xfId="378"/>
    <cellStyle name="Обычный 12 6 2 2" xfId="6096"/>
    <cellStyle name="Обычный 12 6 3" xfId="1348"/>
    <cellStyle name="Обычный 12 6 4" xfId="2329"/>
    <cellStyle name="Обычный 12 6 4 2" xfId="7445"/>
    <cellStyle name="Обычный 12 6 5" xfId="3085"/>
    <cellStyle name="Обычный 12 6 6" xfId="3826"/>
    <cellStyle name="Обычный 12 6 7" xfId="4567"/>
    <cellStyle name="Обычный 12 6 8" xfId="5308"/>
    <cellStyle name="Обычный 12 7" xfId="196"/>
    <cellStyle name="Обычный 12 7 2" xfId="379"/>
    <cellStyle name="Обычный 12 7 2 2" xfId="6097"/>
    <cellStyle name="Обычный 12 7 3" xfId="1349"/>
    <cellStyle name="Обычный 12 7 4" xfId="2330"/>
    <cellStyle name="Обычный 12 7 4 2" xfId="7573"/>
    <cellStyle name="Обычный 12 7 5" xfId="3086"/>
    <cellStyle name="Обычный 12 7 6" xfId="3827"/>
    <cellStyle name="Обычный 12 7 7" xfId="4568"/>
    <cellStyle name="Обычный 12 7 8" xfId="5309"/>
    <cellStyle name="Обычный 12 8" xfId="210"/>
    <cellStyle name="Обычный 12 8 2" xfId="380"/>
    <cellStyle name="Обычный 12 8 2 2" xfId="6098"/>
    <cellStyle name="Обычный 12 8 3" xfId="1350"/>
    <cellStyle name="Обычный 12 8 4" xfId="2331"/>
    <cellStyle name="Обычный 12 8 4 2" xfId="7574"/>
    <cellStyle name="Обычный 12 8 5" xfId="3087"/>
    <cellStyle name="Обычный 12 8 6" xfId="3828"/>
    <cellStyle name="Обычный 12 8 7" xfId="4569"/>
    <cellStyle name="Обычный 12 8 8" xfId="5310"/>
    <cellStyle name="Обычный 12 9" xfId="216"/>
    <cellStyle name="Обычный 12 9 2" xfId="381"/>
    <cellStyle name="Обычный 12 9 2 2" xfId="6099"/>
    <cellStyle name="Обычный 12 9 3" xfId="1351"/>
    <cellStyle name="Обычный 12 9 4" xfId="2332"/>
    <cellStyle name="Обычный 12 9 4 2" xfId="7575"/>
    <cellStyle name="Обычный 12 9 5" xfId="3088"/>
    <cellStyle name="Обычный 12 9 6" xfId="3829"/>
    <cellStyle name="Обычный 12 9 7" xfId="4570"/>
    <cellStyle name="Обычный 12 9 8" xfId="5311"/>
    <cellStyle name="Обычный 13" xfId="67"/>
    <cellStyle name="Обычный 13 10" xfId="240"/>
    <cellStyle name="Обычный 13 10 2" xfId="383"/>
    <cellStyle name="Обычный 13 10 2 2" xfId="6101"/>
    <cellStyle name="Обычный 13 10 3" xfId="1353"/>
    <cellStyle name="Обычный 13 10 4" xfId="2334"/>
    <cellStyle name="Обычный 13 10 4 2" xfId="7375"/>
    <cellStyle name="Обычный 13 10 5" xfId="3090"/>
    <cellStyle name="Обычный 13 10 6" xfId="3831"/>
    <cellStyle name="Обычный 13 10 7" xfId="4572"/>
    <cellStyle name="Обычный 13 10 8" xfId="5313"/>
    <cellStyle name="Обычный 13 11" xfId="384"/>
    <cellStyle name="Обычный 13 11 2" xfId="385"/>
    <cellStyle name="Обычный 13 11 2 2" xfId="1355"/>
    <cellStyle name="Обычный 13 11 3" xfId="1354"/>
    <cellStyle name="Обычный 13 12" xfId="386"/>
    <cellStyle name="Обычный 13 12 2" xfId="1356"/>
    <cellStyle name="Обычный 13 12 2 2" xfId="6102"/>
    <cellStyle name="Обычный 13 12 3" xfId="2335"/>
    <cellStyle name="Обычный 13 12 3 2" xfId="6281"/>
    <cellStyle name="Обычный 13 12 4" xfId="3091"/>
    <cellStyle name="Обычный 13 12 4 2" xfId="7577"/>
    <cellStyle name="Обычный 13 12 5" xfId="3832"/>
    <cellStyle name="Обычный 13 12 6" xfId="4573"/>
    <cellStyle name="Обычный 13 12 7" xfId="5314"/>
    <cellStyle name="Обычный 13 13" xfId="387"/>
    <cellStyle name="Обычный 13 13 2" xfId="1357"/>
    <cellStyle name="Обычный 13 13 2 2" xfId="6103"/>
    <cellStyle name="Обычный 13 13 3" xfId="2336"/>
    <cellStyle name="Обычный 13 13 3 2" xfId="7102"/>
    <cellStyle name="Обычный 13 13 4" xfId="3092"/>
    <cellStyle name="Обычный 13 13 4 2" xfId="7578"/>
    <cellStyle name="Обычный 13 13 5" xfId="3833"/>
    <cellStyle name="Обычный 13 13 6" xfId="4574"/>
    <cellStyle name="Обычный 13 13 7" xfId="5315"/>
    <cellStyle name="Обычный 13 14" xfId="388"/>
    <cellStyle name="Обычный 13 14 2" xfId="1358"/>
    <cellStyle name="Обычный 13 14 2 2" xfId="6104"/>
    <cellStyle name="Обычный 13 14 3" xfId="2337"/>
    <cellStyle name="Обычный 13 14 3 2" xfId="5944"/>
    <cellStyle name="Обычный 13 14 4" xfId="3093"/>
    <cellStyle name="Обычный 13 14 4 2" xfId="7579"/>
    <cellStyle name="Обычный 13 14 5" xfId="3834"/>
    <cellStyle name="Обычный 13 14 6" xfId="4575"/>
    <cellStyle name="Обычный 13 14 7" xfId="5316"/>
    <cellStyle name="Обычный 13 15" xfId="389"/>
    <cellStyle name="Обычный 13 15 2" xfId="1359"/>
    <cellStyle name="Обычный 13 15 2 2" xfId="6105"/>
    <cellStyle name="Обычный 13 15 3" xfId="2338"/>
    <cellStyle name="Обычный 13 15 3 2" xfId="6356"/>
    <cellStyle name="Обычный 13 15 4" xfId="3094"/>
    <cellStyle name="Обычный 13 15 4 2" xfId="7580"/>
    <cellStyle name="Обычный 13 15 5" xfId="3835"/>
    <cellStyle name="Обычный 13 15 6" xfId="4576"/>
    <cellStyle name="Обычный 13 15 7" xfId="5317"/>
    <cellStyle name="Обычный 13 16" xfId="390"/>
    <cellStyle name="Обычный 13 16 2" xfId="1360"/>
    <cellStyle name="Обычный 13 16 2 2" xfId="6106"/>
    <cellStyle name="Обычный 13 16 3" xfId="2339"/>
    <cellStyle name="Обычный 13 16 3 2" xfId="6360"/>
    <cellStyle name="Обычный 13 16 4" xfId="3095"/>
    <cellStyle name="Обычный 13 16 4 2" xfId="7581"/>
    <cellStyle name="Обычный 13 16 5" xfId="3836"/>
    <cellStyle name="Обычный 13 16 6" xfId="4577"/>
    <cellStyle name="Обычный 13 16 7" xfId="5318"/>
    <cellStyle name="Обычный 13 17" xfId="391"/>
    <cellStyle name="Обычный 13 17 2" xfId="1361"/>
    <cellStyle name="Обычный 13 17 2 2" xfId="6107"/>
    <cellStyle name="Обычный 13 17 3" xfId="2340"/>
    <cellStyle name="Обычный 13 17 3 2" xfId="7158"/>
    <cellStyle name="Обычный 13 17 4" xfId="3096"/>
    <cellStyle name="Обычный 13 17 4 2" xfId="7582"/>
    <cellStyle name="Обычный 13 17 5" xfId="3837"/>
    <cellStyle name="Обычный 13 17 6" xfId="4578"/>
    <cellStyle name="Обычный 13 17 7" xfId="5319"/>
    <cellStyle name="Обычный 13 18" xfId="392"/>
    <cellStyle name="Обычный 13 18 2" xfId="1362"/>
    <cellStyle name="Обычный 13 18 2 2" xfId="6108"/>
    <cellStyle name="Обычный 13 18 3" xfId="2341"/>
    <cellStyle name="Обычный 13 18 3 2" xfId="7348"/>
    <cellStyle name="Обычный 13 18 4" xfId="3097"/>
    <cellStyle name="Обычный 13 18 4 2" xfId="7583"/>
    <cellStyle name="Обычный 13 18 5" xfId="3838"/>
    <cellStyle name="Обычный 13 18 6" xfId="4579"/>
    <cellStyle name="Обычный 13 18 7" xfId="5320"/>
    <cellStyle name="Обычный 13 19" xfId="393"/>
    <cellStyle name="Обычный 13 19 2" xfId="1363"/>
    <cellStyle name="Обычный 13 19 2 2" xfId="6109"/>
    <cellStyle name="Обычный 13 19 3" xfId="2342"/>
    <cellStyle name="Обычный 13 19 3 2" xfId="7101"/>
    <cellStyle name="Обычный 13 19 4" xfId="3098"/>
    <cellStyle name="Обычный 13 19 4 2" xfId="7584"/>
    <cellStyle name="Обычный 13 19 5" xfId="3839"/>
    <cellStyle name="Обычный 13 19 6" xfId="4580"/>
    <cellStyle name="Обычный 13 19 7" xfId="5321"/>
    <cellStyle name="Обычный 13 2" xfId="81"/>
    <cellStyle name="Обычный 13 2 2" xfId="394"/>
    <cellStyle name="Обычный 13 2 2 2" xfId="1365"/>
    <cellStyle name="Обычный 13 2 2 2 2" xfId="6848"/>
    <cellStyle name="Обычный 13 2 2 3" xfId="2936"/>
    <cellStyle name="Обычный 13 2 2 3 2" xfId="7100"/>
    <cellStyle name="Обычный 13 2 2 4" xfId="3677"/>
    <cellStyle name="Обычный 13 2 2 4 2" xfId="7586"/>
    <cellStyle name="Обычный 13 2 2 5" xfId="4418"/>
    <cellStyle name="Обычный 13 2 2 6" xfId="5159"/>
    <cellStyle name="Обычный 13 2 2 7" xfId="5900"/>
    <cellStyle name="Обычный 13 2 3" xfId="1364"/>
    <cellStyle name="Обычный 13 2 3 2" xfId="6110"/>
    <cellStyle name="Обычный 13 2 4" xfId="2343"/>
    <cellStyle name="Обычный 13 2 4 2" xfId="7239"/>
    <cellStyle name="Обычный 13 2 5" xfId="3099"/>
    <cellStyle name="Обычный 13 2 5 2" xfId="7585"/>
    <cellStyle name="Обычный 13 2 6" xfId="3840"/>
    <cellStyle name="Обычный 13 2 7" xfId="4581"/>
    <cellStyle name="Обычный 13 2 8" xfId="5322"/>
    <cellStyle name="Обычный 13 20" xfId="395"/>
    <cellStyle name="Обычный 13 20 2" xfId="1366"/>
    <cellStyle name="Обычный 13 20 2 2" xfId="6111"/>
    <cellStyle name="Обычный 13 20 3" xfId="2344"/>
    <cellStyle name="Обычный 13 20 3 2" xfId="7099"/>
    <cellStyle name="Обычный 13 20 4" xfId="3100"/>
    <cellStyle name="Обычный 13 20 4 2" xfId="8316"/>
    <cellStyle name="Обычный 13 20 5" xfId="3841"/>
    <cellStyle name="Обычный 13 20 6" xfId="4582"/>
    <cellStyle name="Обычный 13 20 7" xfId="5323"/>
    <cellStyle name="Обычный 13 21" xfId="396"/>
    <cellStyle name="Обычный 13 21 2" xfId="1367"/>
    <cellStyle name="Обычный 13 21 2 2" xfId="6112"/>
    <cellStyle name="Обычный 13 21 3" xfId="2345"/>
    <cellStyle name="Обычный 13 21 3 2" xfId="7098"/>
    <cellStyle name="Обычный 13 21 4" xfId="3101"/>
    <cellStyle name="Обычный 13 21 4 2" xfId="7587"/>
    <cellStyle name="Обычный 13 21 5" xfId="3842"/>
    <cellStyle name="Обычный 13 21 6" xfId="4583"/>
    <cellStyle name="Обычный 13 21 7" xfId="5324"/>
    <cellStyle name="Обычный 13 22" xfId="397"/>
    <cellStyle name="Обычный 13 22 2" xfId="1368"/>
    <cellStyle name="Обычный 13 22 2 2" xfId="6113"/>
    <cellStyle name="Обычный 13 22 3" xfId="2346"/>
    <cellStyle name="Обычный 13 22 3 2" xfId="7097"/>
    <cellStyle name="Обычный 13 22 4" xfId="3102"/>
    <cellStyle name="Обычный 13 22 4 2" xfId="7588"/>
    <cellStyle name="Обычный 13 22 5" xfId="3843"/>
    <cellStyle name="Обычный 13 22 6" xfId="4584"/>
    <cellStyle name="Обычный 13 22 7" xfId="5325"/>
    <cellStyle name="Обычный 13 23" xfId="398"/>
    <cellStyle name="Обычный 13 23 2" xfId="1369"/>
    <cellStyle name="Обычный 13 23 2 2" xfId="6114"/>
    <cellStyle name="Обычный 13 23 3" xfId="2347"/>
    <cellStyle name="Обычный 13 23 3 2" xfId="7096"/>
    <cellStyle name="Обычный 13 23 4" xfId="3103"/>
    <cellStyle name="Обычный 13 23 4 2" xfId="7589"/>
    <cellStyle name="Обычный 13 23 5" xfId="3844"/>
    <cellStyle name="Обычный 13 23 6" xfId="4585"/>
    <cellStyle name="Обычный 13 23 7" xfId="5326"/>
    <cellStyle name="Обычный 13 24" xfId="399"/>
    <cellStyle name="Обычный 13 24 2" xfId="1370"/>
    <cellStyle name="Обычный 13 24 2 2" xfId="6115"/>
    <cellStyle name="Обычный 13 24 3" xfId="2348"/>
    <cellStyle name="Обычный 13 24 3 2" xfId="7208"/>
    <cellStyle name="Обычный 13 24 4" xfId="3104"/>
    <cellStyle name="Обычный 13 24 4 2" xfId="7590"/>
    <cellStyle name="Обычный 13 24 5" xfId="3845"/>
    <cellStyle name="Обычный 13 24 6" xfId="4586"/>
    <cellStyle name="Обычный 13 24 7" xfId="5327"/>
    <cellStyle name="Обычный 13 25" xfId="400"/>
    <cellStyle name="Обычный 13 25 2" xfId="1371"/>
    <cellStyle name="Обычный 13 25 2 2" xfId="6116"/>
    <cellStyle name="Обычный 13 25 3" xfId="2349"/>
    <cellStyle name="Обычный 13 25 3 2" xfId="7205"/>
    <cellStyle name="Обычный 13 25 4" xfId="3105"/>
    <cellStyle name="Обычный 13 25 4 2" xfId="7591"/>
    <cellStyle name="Обычный 13 25 5" xfId="3846"/>
    <cellStyle name="Обычный 13 25 6" xfId="4587"/>
    <cellStyle name="Обычный 13 25 7" xfId="5328"/>
    <cellStyle name="Обычный 13 26" xfId="401"/>
    <cellStyle name="Обычный 13 26 2" xfId="1372"/>
    <cellStyle name="Обычный 13 26 2 2" xfId="6117"/>
    <cellStyle name="Обычный 13 26 3" xfId="2350"/>
    <cellStyle name="Обычный 13 26 3 2" xfId="6726"/>
    <cellStyle name="Обычный 13 26 4" xfId="3106"/>
    <cellStyle name="Обычный 13 26 4 2" xfId="7592"/>
    <cellStyle name="Обычный 13 26 5" xfId="3847"/>
    <cellStyle name="Обычный 13 26 6" xfId="4588"/>
    <cellStyle name="Обычный 13 26 7" xfId="5329"/>
    <cellStyle name="Обычный 13 27" xfId="402"/>
    <cellStyle name="Обычный 13 27 2" xfId="1373"/>
    <cellStyle name="Обычный 13 27 2 2" xfId="6118"/>
    <cellStyle name="Обычный 13 27 3" xfId="2351"/>
    <cellStyle name="Обычный 13 27 3 2" xfId="7095"/>
    <cellStyle name="Обычный 13 27 4" xfId="3107"/>
    <cellStyle name="Обычный 13 27 4 2" xfId="7593"/>
    <cellStyle name="Обычный 13 27 5" xfId="3848"/>
    <cellStyle name="Обычный 13 27 6" xfId="4589"/>
    <cellStyle name="Обычный 13 27 7" xfId="5330"/>
    <cellStyle name="Обычный 13 28" xfId="382"/>
    <cellStyle name="Обычный 13 28 2" xfId="1374"/>
    <cellStyle name="Обычный 13 28 2 2" xfId="6800"/>
    <cellStyle name="Обычный 13 28 3" xfId="2888"/>
    <cellStyle name="Обычный 13 28 3 2" xfId="7210"/>
    <cellStyle name="Обычный 13 28 4" xfId="3629"/>
    <cellStyle name="Обычный 13 28 4 2" xfId="7594"/>
    <cellStyle name="Обычный 13 28 5" xfId="4370"/>
    <cellStyle name="Обычный 13 28 6" xfId="5111"/>
    <cellStyle name="Обычный 13 28 7" xfId="5852"/>
    <cellStyle name="Обычный 13 29" xfId="1375"/>
    <cellStyle name="Обычный 13 29 2" xfId="2900"/>
    <cellStyle name="Обычный 13 29 2 2" xfId="6812"/>
    <cellStyle name="Обычный 13 29 3" xfId="3641"/>
    <cellStyle name="Обычный 13 29 3 2" xfId="7339"/>
    <cellStyle name="Обычный 13 29 4" xfId="4382"/>
    <cellStyle name="Обычный 13 29 4 2" xfId="8274"/>
    <cellStyle name="Обычный 13 29 5" xfId="5123"/>
    <cellStyle name="Обычный 13 29 6" xfId="5864"/>
    <cellStyle name="Обычный 13 3" xfId="97"/>
    <cellStyle name="Обычный 13 3 2" xfId="403"/>
    <cellStyle name="Обычный 13 3 2 2" xfId="1377"/>
    <cellStyle name="Обычный 13 3 2 2 2" xfId="6836"/>
    <cellStyle name="Обычный 13 3 2 3" xfId="2924"/>
    <cellStyle name="Обычный 13 3 2 3 2" xfId="7227"/>
    <cellStyle name="Обычный 13 3 2 4" xfId="3665"/>
    <cellStyle name="Обычный 13 3 2 4 2" xfId="7595"/>
    <cellStyle name="Обычный 13 3 2 5" xfId="4406"/>
    <cellStyle name="Обычный 13 3 2 6" xfId="5147"/>
    <cellStyle name="Обычный 13 3 2 7" xfId="5888"/>
    <cellStyle name="Обычный 13 3 3" xfId="1376"/>
    <cellStyle name="Обычный 13 3 3 2" xfId="6119"/>
    <cellStyle name="Обычный 13 3 4" xfId="2352"/>
    <cellStyle name="Обычный 13 3 4 2" xfId="7094"/>
    <cellStyle name="Обычный 13 3 5" xfId="3108"/>
    <cellStyle name="Обычный 13 3 5 2" xfId="8285"/>
    <cellStyle name="Обычный 13 3 6" xfId="3849"/>
    <cellStyle name="Обычный 13 3 7" xfId="4590"/>
    <cellStyle name="Обычный 13 3 8" xfId="5331"/>
    <cellStyle name="Обычный 13 30" xfId="1378"/>
    <cellStyle name="Обычный 13 30 2" xfId="2912"/>
    <cellStyle name="Обычный 13 30 2 2" xfId="6824"/>
    <cellStyle name="Обычный 13 30 3" xfId="3653"/>
    <cellStyle name="Обычный 13 30 3 2" xfId="7093"/>
    <cellStyle name="Обычный 13 30 4" xfId="4394"/>
    <cellStyle name="Обычный 13 30 4 2" xfId="8306"/>
    <cellStyle name="Обычный 13 30 5" xfId="5135"/>
    <cellStyle name="Обычный 13 30 6" xfId="5876"/>
    <cellStyle name="Обычный 13 31" xfId="1379"/>
    <cellStyle name="Обычный 13 31 2" xfId="2333"/>
    <cellStyle name="Обычный 13 31 2 2" xfId="6100"/>
    <cellStyle name="Обычный 13 31 3" xfId="3089"/>
    <cellStyle name="Обычный 13 31 3 2" xfId="7270"/>
    <cellStyle name="Обычный 13 31 4" xfId="3830"/>
    <cellStyle name="Обычный 13 31 4 2" xfId="7428"/>
    <cellStyle name="Обычный 13 31 5" xfId="4571"/>
    <cellStyle name="Обычный 13 31 6" xfId="5312"/>
    <cellStyle name="Обычный 13 32" xfId="1352"/>
    <cellStyle name="Обычный 13 32 2" xfId="5938"/>
    <cellStyle name="Обычный 13 33" xfId="2212"/>
    <cellStyle name="Обычный 13 33 2" xfId="7228"/>
    <cellStyle name="Обычный 13 34" xfId="2961"/>
    <cellStyle name="Обычный 13 35" xfId="3702"/>
    <cellStyle name="Обычный 13 36" xfId="4443"/>
    <cellStyle name="Обычный 13 37" xfId="5189"/>
    <cellStyle name="Обычный 13 4" xfId="133"/>
    <cellStyle name="Обычный 13 4 2" xfId="404"/>
    <cellStyle name="Обычный 13 4 2 2" xfId="6120"/>
    <cellStyle name="Обычный 13 4 3" xfId="1380"/>
    <cellStyle name="Обычный 13 4 4" xfId="2353"/>
    <cellStyle name="Обычный 13 4 4 2" xfId="8297"/>
    <cellStyle name="Обычный 13 4 5" xfId="3109"/>
    <cellStyle name="Обычный 13 4 6" xfId="3850"/>
    <cellStyle name="Обычный 13 4 7" xfId="4591"/>
    <cellStyle name="Обычный 13 4 8" xfId="5332"/>
    <cellStyle name="Обычный 13 5" xfId="162"/>
    <cellStyle name="Обычный 13 5 2" xfId="405"/>
    <cellStyle name="Обычный 13 5 2 2" xfId="6121"/>
    <cellStyle name="Обычный 13 5 3" xfId="1381"/>
    <cellStyle name="Обычный 13 5 4" xfId="2354"/>
    <cellStyle name="Обычный 13 5 4 2" xfId="7576"/>
    <cellStyle name="Обычный 13 5 5" xfId="3110"/>
    <cellStyle name="Обычный 13 5 6" xfId="3851"/>
    <cellStyle name="Обычный 13 5 7" xfId="4592"/>
    <cellStyle name="Обычный 13 5 8" xfId="5333"/>
    <cellStyle name="Обычный 13 6" xfId="177"/>
    <cellStyle name="Обычный 13 6 2" xfId="406"/>
    <cellStyle name="Обычный 13 6 2 2" xfId="6122"/>
    <cellStyle name="Обычный 13 6 3" xfId="1382"/>
    <cellStyle name="Обычный 13 6 4" xfId="2355"/>
    <cellStyle name="Обычный 13 6 4 2" xfId="7596"/>
    <cellStyle name="Обычный 13 6 5" xfId="3111"/>
    <cellStyle name="Обычный 13 6 6" xfId="3852"/>
    <cellStyle name="Обычный 13 6 7" xfId="4593"/>
    <cellStyle name="Обычный 13 6 8" xfId="5334"/>
    <cellStyle name="Обычный 13 7" xfId="198"/>
    <cellStyle name="Обычный 13 7 2" xfId="407"/>
    <cellStyle name="Обычный 13 7 2 2" xfId="6123"/>
    <cellStyle name="Обычный 13 7 3" xfId="1383"/>
    <cellStyle name="Обычный 13 7 4" xfId="2356"/>
    <cellStyle name="Обычный 13 7 4 2" xfId="7597"/>
    <cellStyle name="Обычный 13 7 5" xfId="3112"/>
    <cellStyle name="Обычный 13 7 6" xfId="3853"/>
    <cellStyle name="Обычный 13 7 7" xfId="4594"/>
    <cellStyle name="Обычный 13 7 8" xfId="5335"/>
    <cellStyle name="Обычный 13 8" xfId="212"/>
    <cellStyle name="Обычный 13 8 2" xfId="408"/>
    <cellStyle name="Обычный 13 8 2 2" xfId="6124"/>
    <cellStyle name="Обычный 13 8 3" xfId="1384"/>
    <cellStyle name="Обычный 13 8 4" xfId="2357"/>
    <cellStyle name="Обычный 13 8 4 2" xfId="7598"/>
    <cellStyle name="Обычный 13 8 5" xfId="3113"/>
    <cellStyle name="Обычный 13 8 6" xfId="3854"/>
    <cellStyle name="Обычный 13 8 7" xfId="4595"/>
    <cellStyle name="Обычный 13 8 8" xfId="5336"/>
    <cellStyle name="Обычный 13 9" xfId="217"/>
    <cellStyle name="Обычный 13 9 2" xfId="409"/>
    <cellStyle name="Обычный 13 9 2 2" xfId="6125"/>
    <cellStyle name="Обычный 13 9 3" xfId="1385"/>
    <cellStyle name="Обычный 13 9 4" xfId="2358"/>
    <cellStyle name="Обычный 13 9 4 2" xfId="7599"/>
    <cellStyle name="Обычный 13 9 5" xfId="3114"/>
    <cellStyle name="Обычный 13 9 6" xfId="3855"/>
    <cellStyle name="Обычный 13 9 7" xfId="4596"/>
    <cellStyle name="Обычный 13 9 8" xfId="5337"/>
    <cellStyle name="Обычный 14" xfId="9"/>
    <cellStyle name="Обычный 14 2" xfId="83"/>
    <cellStyle name="Обычный 14 2 2" xfId="6126"/>
    <cellStyle name="Обычный 14 3" xfId="410"/>
    <cellStyle name="Обычный 14 3 2" xfId="7092"/>
    <cellStyle name="Обычный 14 4" xfId="1386"/>
    <cellStyle name="Обычный 14 4 2" xfId="7600"/>
    <cellStyle name="Обычный 14 5" xfId="2359"/>
    <cellStyle name="Обычный 14 6" xfId="3115"/>
    <cellStyle name="Обычный 14 7" xfId="3856"/>
    <cellStyle name="Обычный 14 8" xfId="4597"/>
    <cellStyle name="Обычный 14 9" xfId="5338"/>
    <cellStyle name="Обычный 15" xfId="411"/>
    <cellStyle name="Обычный 15 2" xfId="1387"/>
    <cellStyle name="Обычный 15 2 2" xfId="6127"/>
    <cellStyle name="Обычный 15 3" xfId="2360"/>
    <cellStyle name="Обычный 15 3 2" xfId="7091"/>
    <cellStyle name="Обычный 15 4" xfId="3116"/>
    <cellStyle name="Обычный 15 4 2" xfId="7601"/>
    <cellStyle name="Обычный 15 5" xfId="3857"/>
    <cellStyle name="Обычный 15 6" xfId="4598"/>
    <cellStyle name="Обычный 15 7" xfId="5339"/>
    <cellStyle name="Обычный 16" xfId="1388"/>
    <cellStyle name="Обычный 16 2" xfId="2862"/>
    <cellStyle name="Обычный 16 2 2" xfId="6774"/>
    <cellStyle name="Обычный 16 3" xfId="3605"/>
    <cellStyle name="Обычный 16 3 2" xfId="7090"/>
    <cellStyle name="Обычный 16 4" xfId="4346"/>
    <cellStyle name="Обычный 16 4 2" xfId="7602"/>
    <cellStyle name="Обычный 16 5" xfId="5087"/>
    <cellStyle name="Обычный 16 6" xfId="5828"/>
    <cellStyle name="Обычный 17" xfId="1118"/>
    <cellStyle name="Обычный 17 2" xfId="6383"/>
    <cellStyle name="Обычный 18" xfId="1119"/>
    <cellStyle name="Обычный 2" xfId="45"/>
    <cellStyle name="Обычный 2 2" xfId="2"/>
    <cellStyle name="Обычный 2 2 2" xfId="10"/>
    <cellStyle name="Обычный 2 2 2 2" xfId="1391"/>
    <cellStyle name="Обычный 2 2 2 3" xfId="7603"/>
    <cellStyle name="Обычный 2 2 3" xfId="412"/>
    <cellStyle name="Обычный 2 2 3 2" xfId="1392"/>
    <cellStyle name="Обычный 2 2 4" xfId="1390"/>
    <cellStyle name="Обычный 2 3" xfId="1389"/>
    <cellStyle name="Обычный 3" xfId="46"/>
    <cellStyle name="Обычный 3 10" xfId="218"/>
    <cellStyle name="Обычный 3 10 2" xfId="414"/>
    <cellStyle name="Обычный 3 10 2 2" xfId="6129"/>
    <cellStyle name="Обычный 3 10 3" xfId="1394"/>
    <cellStyle name="Обычный 3 10 4" xfId="2362"/>
    <cellStyle name="Обычный 3 10 4 2" xfId="7604"/>
    <cellStyle name="Обычный 3 10 5" xfId="3118"/>
    <cellStyle name="Обычный 3 10 6" xfId="3859"/>
    <cellStyle name="Обычный 3 10 7" xfId="4600"/>
    <cellStyle name="Обычный 3 10 8" xfId="5341"/>
    <cellStyle name="Обычный 3 11" xfId="228"/>
    <cellStyle name="Обычный 3 11 2" xfId="415"/>
    <cellStyle name="Обычный 3 11 2 2" xfId="6130"/>
    <cellStyle name="Обычный 3 11 3" xfId="1395"/>
    <cellStyle name="Обычный 3 11 4" xfId="2363"/>
    <cellStyle name="Обычный 3 11 4 2" xfId="7605"/>
    <cellStyle name="Обычный 3 11 5" xfId="3119"/>
    <cellStyle name="Обычный 3 11 6" xfId="3860"/>
    <cellStyle name="Обычный 3 11 7" xfId="4601"/>
    <cellStyle name="Обычный 3 11 8" xfId="5342"/>
    <cellStyle name="Обычный 3 12" xfId="416"/>
    <cellStyle name="Обычный 3 12 2" xfId="417"/>
    <cellStyle name="Обычный 3 12 2 2" xfId="1397"/>
    <cellStyle name="Обычный 3 12 3" xfId="1396"/>
    <cellStyle name="Обычный 3 13" xfId="418"/>
    <cellStyle name="Обычный 3 13 2" xfId="1398"/>
    <cellStyle name="Обычный 3 13 2 2" xfId="6131"/>
    <cellStyle name="Обычный 3 13 3" xfId="2364"/>
    <cellStyle name="Обычный 3 13 3 2" xfId="6723"/>
    <cellStyle name="Обычный 3 13 4" xfId="3120"/>
    <cellStyle name="Обычный 3 13 4 2" xfId="7606"/>
    <cellStyle name="Обычный 3 13 5" xfId="3861"/>
    <cellStyle name="Обычный 3 13 6" xfId="4602"/>
    <cellStyle name="Обычный 3 13 7" xfId="5343"/>
    <cellStyle name="Обычный 3 14" xfId="419"/>
    <cellStyle name="Обычный 3 14 2" xfId="1399"/>
    <cellStyle name="Обычный 3 14 2 2" xfId="6132"/>
    <cellStyle name="Обычный 3 14 3" xfId="2365"/>
    <cellStyle name="Обычный 3 14 3 2" xfId="6720"/>
    <cellStyle name="Обычный 3 14 4" xfId="3121"/>
    <cellStyle name="Обычный 3 14 4 2" xfId="8314"/>
    <cellStyle name="Обычный 3 14 5" xfId="3862"/>
    <cellStyle name="Обычный 3 14 6" xfId="4603"/>
    <cellStyle name="Обычный 3 14 7" xfId="5344"/>
    <cellStyle name="Обычный 3 15" xfId="420"/>
    <cellStyle name="Обычный 3 15 2" xfId="1400"/>
    <cellStyle name="Обычный 3 15 2 2" xfId="6133"/>
    <cellStyle name="Обычный 3 15 3" xfId="2366"/>
    <cellStyle name="Обычный 3 15 3 2" xfId="7087"/>
    <cellStyle name="Обычный 3 15 4" xfId="3122"/>
    <cellStyle name="Обычный 3 15 4 2" xfId="8283"/>
    <cellStyle name="Обычный 3 15 5" xfId="3863"/>
    <cellStyle name="Обычный 3 15 6" xfId="4604"/>
    <cellStyle name="Обычный 3 15 7" xfId="5345"/>
    <cellStyle name="Обычный 3 16" xfId="421"/>
    <cellStyle name="Обычный 3 16 2" xfId="1401"/>
    <cellStyle name="Обычный 3 16 2 2" xfId="6134"/>
    <cellStyle name="Обычный 3 16 3" xfId="2367"/>
    <cellStyle name="Обычный 3 16 3 2" xfId="7086"/>
    <cellStyle name="Обычный 3 16 4" xfId="3123"/>
    <cellStyle name="Обычный 3 16 4 2" xfId="8295"/>
    <cellStyle name="Обычный 3 16 5" xfId="3864"/>
    <cellStyle name="Обычный 3 16 6" xfId="4605"/>
    <cellStyle name="Обычный 3 16 7" xfId="5346"/>
    <cellStyle name="Обычный 3 17" xfId="422"/>
    <cellStyle name="Обычный 3 17 2" xfId="1402"/>
    <cellStyle name="Обычный 3 17 2 2" xfId="6135"/>
    <cellStyle name="Обычный 3 17 3" xfId="2368"/>
    <cellStyle name="Обычный 3 17 3 2" xfId="7085"/>
    <cellStyle name="Обычный 3 17 4" xfId="3124"/>
    <cellStyle name="Обычный 3 17 4 2" xfId="7423"/>
    <cellStyle name="Обычный 3 17 5" xfId="3865"/>
    <cellStyle name="Обычный 3 17 6" xfId="4606"/>
    <cellStyle name="Обычный 3 17 7" xfId="5347"/>
    <cellStyle name="Обычный 3 18" xfId="423"/>
    <cellStyle name="Обычный 3 18 2" xfId="1403"/>
    <cellStyle name="Обычный 3 18 2 2" xfId="6136"/>
    <cellStyle name="Обычный 3 18 3" xfId="2369"/>
    <cellStyle name="Обычный 3 18 3 2" xfId="7084"/>
    <cellStyle name="Обычный 3 18 4" xfId="3125"/>
    <cellStyle name="Обычный 3 18 4 2" xfId="7565"/>
    <cellStyle name="Обычный 3 18 5" xfId="3866"/>
    <cellStyle name="Обычный 3 18 6" xfId="4607"/>
    <cellStyle name="Обычный 3 18 7" xfId="5348"/>
    <cellStyle name="Обычный 3 19" xfId="424"/>
    <cellStyle name="Обычный 3 19 2" xfId="1404"/>
    <cellStyle name="Обычный 3 19 2 2" xfId="6137"/>
    <cellStyle name="Обычный 3 19 3" xfId="2370"/>
    <cellStyle name="Обычный 3 19 3 2" xfId="7083"/>
    <cellStyle name="Обычный 3 19 4" xfId="3126"/>
    <cellStyle name="Обычный 3 19 4 2" xfId="7607"/>
    <cellStyle name="Обычный 3 19 5" xfId="3867"/>
    <cellStyle name="Обычный 3 19 6" xfId="4608"/>
    <cellStyle name="Обычный 3 19 7" xfId="5349"/>
    <cellStyle name="Обычный 3 2" xfId="56"/>
    <cellStyle name="Обычный 3 2 10" xfId="231"/>
    <cellStyle name="Обычный 3 2 10 2" xfId="426"/>
    <cellStyle name="Обычный 3 2 10 2 2" xfId="6139"/>
    <cellStyle name="Обычный 3 2 10 3" xfId="1406"/>
    <cellStyle name="Обычный 3 2 10 4" xfId="2372"/>
    <cellStyle name="Обычный 3 2 10 4 2" xfId="7608"/>
    <cellStyle name="Обычный 3 2 10 5" xfId="3128"/>
    <cellStyle name="Обычный 3 2 10 6" xfId="3869"/>
    <cellStyle name="Обычный 3 2 10 7" xfId="4610"/>
    <cellStyle name="Обычный 3 2 10 8" xfId="5351"/>
    <cellStyle name="Обычный 3 2 11" xfId="427"/>
    <cellStyle name="Обычный 3 2 11 2" xfId="428"/>
    <cellStyle name="Обычный 3 2 11 2 2" xfId="1408"/>
    <cellStyle name="Обычный 3 2 11 3" xfId="1407"/>
    <cellStyle name="Обычный 3 2 12" xfId="429"/>
    <cellStyle name="Обычный 3 2 12 2" xfId="1409"/>
    <cellStyle name="Обычный 3 2 12 2 2" xfId="6141"/>
    <cellStyle name="Обычный 3 2 12 3" xfId="2373"/>
    <cellStyle name="Обычный 3 2 12 3 2" xfId="7081"/>
    <cellStyle name="Обычный 3 2 12 4" xfId="3129"/>
    <cellStyle name="Обычный 3 2 12 4 2" xfId="7609"/>
    <cellStyle name="Обычный 3 2 12 5" xfId="3870"/>
    <cellStyle name="Обычный 3 2 12 6" xfId="4611"/>
    <cellStyle name="Обычный 3 2 12 7" xfId="5352"/>
    <cellStyle name="Обычный 3 2 13" xfId="430"/>
    <cellStyle name="Обычный 3 2 13 2" xfId="1410"/>
    <cellStyle name="Обычный 3 2 13 2 2" xfId="6142"/>
    <cellStyle name="Обычный 3 2 13 3" xfId="2374"/>
    <cellStyle name="Обычный 3 2 13 3 2" xfId="6732"/>
    <cellStyle name="Обычный 3 2 13 4" xfId="3130"/>
    <cellStyle name="Обычный 3 2 13 4 2" xfId="7610"/>
    <cellStyle name="Обычный 3 2 13 5" xfId="3871"/>
    <cellStyle name="Обычный 3 2 13 6" xfId="4612"/>
    <cellStyle name="Обычный 3 2 13 7" xfId="5353"/>
    <cellStyle name="Обычный 3 2 14" xfId="431"/>
    <cellStyle name="Обычный 3 2 14 2" xfId="1411"/>
    <cellStyle name="Обычный 3 2 14 2 2" xfId="6143"/>
    <cellStyle name="Обычный 3 2 14 3" xfId="2375"/>
    <cellStyle name="Обычный 3 2 14 3 2" xfId="7080"/>
    <cellStyle name="Обычный 3 2 14 4" xfId="3131"/>
    <cellStyle name="Обычный 3 2 14 4 2" xfId="7366"/>
    <cellStyle name="Обычный 3 2 14 5" xfId="3872"/>
    <cellStyle name="Обычный 3 2 14 6" xfId="4613"/>
    <cellStyle name="Обычный 3 2 14 7" xfId="5354"/>
    <cellStyle name="Обычный 3 2 15" xfId="432"/>
    <cellStyle name="Обычный 3 2 15 2" xfId="1412"/>
    <cellStyle name="Обычный 3 2 15 2 2" xfId="6144"/>
    <cellStyle name="Обычный 3 2 15 3" xfId="2376"/>
    <cellStyle name="Обычный 3 2 15 3 2" xfId="7079"/>
    <cellStyle name="Обычный 3 2 15 4" xfId="3132"/>
    <cellStyle name="Обычный 3 2 15 4 2" xfId="7367"/>
    <cellStyle name="Обычный 3 2 15 5" xfId="3873"/>
    <cellStyle name="Обычный 3 2 15 6" xfId="4614"/>
    <cellStyle name="Обычный 3 2 15 7" xfId="5355"/>
    <cellStyle name="Обычный 3 2 16" xfId="433"/>
    <cellStyle name="Обычный 3 2 16 2" xfId="1413"/>
    <cellStyle name="Обычный 3 2 16 2 2" xfId="6145"/>
    <cellStyle name="Обычный 3 2 16 3" xfId="2377"/>
    <cellStyle name="Обычный 3 2 16 3 2" xfId="7078"/>
    <cellStyle name="Обычный 3 2 16 4" xfId="3133"/>
    <cellStyle name="Обычный 3 2 16 4 2" xfId="7611"/>
    <cellStyle name="Обычный 3 2 16 5" xfId="3874"/>
    <cellStyle name="Обычный 3 2 16 6" xfId="4615"/>
    <cellStyle name="Обычный 3 2 16 7" xfId="5356"/>
    <cellStyle name="Обычный 3 2 17" xfId="434"/>
    <cellStyle name="Обычный 3 2 17 2" xfId="1414"/>
    <cellStyle name="Обычный 3 2 17 2 2" xfId="6146"/>
    <cellStyle name="Обычный 3 2 17 3" xfId="2378"/>
    <cellStyle name="Обычный 3 2 17 3 2" xfId="6749"/>
    <cellStyle name="Обычный 3 2 17 4" xfId="3134"/>
    <cellStyle name="Обычный 3 2 17 4 2" xfId="7612"/>
    <cellStyle name="Обычный 3 2 17 5" xfId="3875"/>
    <cellStyle name="Обычный 3 2 17 6" xfId="4616"/>
    <cellStyle name="Обычный 3 2 17 7" xfId="5357"/>
    <cellStyle name="Обычный 3 2 18" xfId="435"/>
    <cellStyle name="Обычный 3 2 18 2" xfId="1415"/>
    <cellStyle name="Обычный 3 2 18 2 2" xfId="6147"/>
    <cellStyle name="Обычный 3 2 18 3" xfId="2379"/>
    <cellStyle name="Обычный 3 2 18 3 2" xfId="7077"/>
    <cellStyle name="Обычный 3 2 18 4" xfId="3135"/>
    <cellStyle name="Обычный 3 2 18 4 2" xfId="7365"/>
    <cellStyle name="Обычный 3 2 18 5" xfId="3876"/>
    <cellStyle name="Обычный 3 2 18 6" xfId="4617"/>
    <cellStyle name="Обычный 3 2 18 7" xfId="5358"/>
    <cellStyle name="Обычный 3 2 19" xfId="436"/>
    <cellStyle name="Обычный 3 2 19 2" xfId="1416"/>
    <cellStyle name="Обычный 3 2 19 2 2" xfId="6148"/>
    <cellStyle name="Обычный 3 2 19 3" xfId="2380"/>
    <cellStyle name="Обычный 3 2 19 3 2" xfId="7076"/>
    <cellStyle name="Обычный 3 2 19 4" xfId="3136"/>
    <cellStyle name="Обычный 3 2 19 4 2" xfId="7613"/>
    <cellStyle name="Обычный 3 2 19 5" xfId="3877"/>
    <cellStyle name="Обычный 3 2 19 6" xfId="4618"/>
    <cellStyle name="Обычный 3 2 19 7" xfId="5359"/>
    <cellStyle name="Обычный 3 2 2" xfId="72"/>
    <cellStyle name="Обычный 3 2 2 2" xfId="437"/>
    <cellStyle name="Обычный 3 2 2 2 2" xfId="1418"/>
    <cellStyle name="Обычный 3 2 2 2 2 2" xfId="6840"/>
    <cellStyle name="Обычный 3 2 2 2 3" xfId="2928"/>
    <cellStyle name="Обычный 3 2 2 2 3 2" xfId="7220"/>
    <cellStyle name="Обычный 3 2 2 2 4" xfId="3669"/>
    <cellStyle name="Обычный 3 2 2 2 4 2" xfId="7372"/>
    <cellStyle name="Обычный 3 2 2 2 5" xfId="4410"/>
    <cellStyle name="Обычный 3 2 2 2 6" xfId="5151"/>
    <cellStyle name="Обычный 3 2 2 2 7" xfId="5892"/>
    <cellStyle name="Обычный 3 2 2 3" xfId="1417"/>
    <cellStyle name="Обычный 3 2 2 3 2" xfId="6149"/>
    <cellStyle name="Обычный 3 2 2 4" xfId="2381"/>
    <cellStyle name="Обычный 3 2 2 4 2" xfId="7075"/>
    <cellStyle name="Обычный 3 2 2 5" xfId="3137"/>
    <cellStyle name="Обычный 3 2 2 5 2" xfId="7614"/>
    <cellStyle name="Обычный 3 2 2 6" xfId="3878"/>
    <cellStyle name="Обычный 3 2 2 7" xfId="4619"/>
    <cellStyle name="Обычный 3 2 2 8" xfId="5360"/>
    <cellStyle name="Обычный 3 2 20" xfId="438"/>
    <cellStyle name="Обычный 3 2 20 2" xfId="1419"/>
    <cellStyle name="Обычный 3 2 20 2 2" xfId="6150"/>
    <cellStyle name="Обычный 3 2 20 3" xfId="2382"/>
    <cellStyle name="Обычный 3 2 20 3 2" xfId="7073"/>
    <cellStyle name="Обычный 3 2 20 4" xfId="3138"/>
    <cellStyle name="Обычный 3 2 20 4 2" xfId="7615"/>
    <cellStyle name="Обычный 3 2 20 5" xfId="3879"/>
    <cellStyle name="Обычный 3 2 20 6" xfId="4620"/>
    <cellStyle name="Обычный 3 2 20 7" xfId="5361"/>
    <cellStyle name="Обычный 3 2 21" xfId="439"/>
    <cellStyle name="Обычный 3 2 21 2" xfId="1420"/>
    <cellStyle name="Обычный 3 2 21 2 2" xfId="6151"/>
    <cellStyle name="Обычный 3 2 21 3" xfId="2383"/>
    <cellStyle name="Обычный 3 2 21 3 2" xfId="7072"/>
    <cellStyle name="Обычный 3 2 21 4" xfId="3139"/>
    <cellStyle name="Обычный 3 2 21 4 2" xfId="7374"/>
    <cellStyle name="Обычный 3 2 21 5" xfId="3880"/>
    <cellStyle name="Обычный 3 2 21 6" xfId="4621"/>
    <cellStyle name="Обычный 3 2 21 7" xfId="5362"/>
    <cellStyle name="Обычный 3 2 22" xfId="440"/>
    <cellStyle name="Обычный 3 2 22 2" xfId="1421"/>
    <cellStyle name="Обычный 3 2 22 2 2" xfId="6152"/>
    <cellStyle name="Обычный 3 2 22 3" xfId="2384"/>
    <cellStyle name="Обычный 3 2 22 3 2" xfId="6384"/>
    <cellStyle name="Обычный 3 2 22 4" xfId="3140"/>
    <cellStyle name="Обычный 3 2 22 4 2" xfId="7616"/>
    <cellStyle name="Обычный 3 2 22 5" xfId="3881"/>
    <cellStyle name="Обычный 3 2 22 6" xfId="4622"/>
    <cellStyle name="Обычный 3 2 22 7" xfId="5363"/>
    <cellStyle name="Обычный 3 2 23" xfId="441"/>
    <cellStyle name="Обычный 3 2 23 2" xfId="1422"/>
    <cellStyle name="Обычный 3 2 23 2 2" xfId="6153"/>
    <cellStyle name="Обычный 3 2 23 3" xfId="2385"/>
    <cellStyle name="Обычный 3 2 23 3 2" xfId="7071"/>
    <cellStyle name="Обычный 3 2 23 4" xfId="3141"/>
    <cellStyle name="Обычный 3 2 23 4 2" xfId="7379"/>
    <cellStyle name="Обычный 3 2 23 5" xfId="3882"/>
    <cellStyle name="Обычный 3 2 23 6" xfId="4623"/>
    <cellStyle name="Обычный 3 2 23 7" xfId="5364"/>
    <cellStyle name="Обычный 3 2 24" xfId="442"/>
    <cellStyle name="Обычный 3 2 24 2" xfId="1423"/>
    <cellStyle name="Обычный 3 2 24 2 2" xfId="6154"/>
    <cellStyle name="Обычный 3 2 24 3" xfId="2386"/>
    <cellStyle name="Обычный 3 2 24 3 2" xfId="7070"/>
    <cellStyle name="Обычный 3 2 24 4" xfId="3142"/>
    <cellStyle name="Обычный 3 2 24 4 2" xfId="7617"/>
    <cellStyle name="Обычный 3 2 24 5" xfId="3883"/>
    <cellStyle name="Обычный 3 2 24 6" xfId="4624"/>
    <cellStyle name="Обычный 3 2 24 7" xfId="5365"/>
    <cellStyle name="Обычный 3 2 25" xfId="443"/>
    <cellStyle name="Обычный 3 2 25 2" xfId="1424"/>
    <cellStyle name="Обычный 3 2 25 2 2" xfId="6155"/>
    <cellStyle name="Обычный 3 2 25 3" xfId="2387"/>
    <cellStyle name="Обычный 3 2 25 3 2" xfId="7016"/>
    <cellStyle name="Обычный 3 2 25 4" xfId="3143"/>
    <cellStyle name="Обычный 3 2 25 4 2" xfId="7395"/>
    <cellStyle name="Обычный 3 2 25 5" xfId="3884"/>
    <cellStyle name="Обычный 3 2 25 6" xfId="4625"/>
    <cellStyle name="Обычный 3 2 25 7" xfId="5366"/>
    <cellStyle name="Обычный 3 2 26" xfId="444"/>
    <cellStyle name="Обычный 3 2 26 2" xfId="1425"/>
    <cellStyle name="Обычный 3 2 26 2 2" xfId="6156"/>
    <cellStyle name="Обычный 3 2 26 3" xfId="2388"/>
    <cellStyle name="Обычный 3 2 26 3 2" xfId="6717"/>
    <cellStyle name="Обычный 3 2 26 4" xfId="3144"/>
    <cellStyle name="Обычный 3 2 26 4 2" xfId="8223"/>
    <cellStyle name="Обычный 3 2 26 5" xfId="3885"/>
    <cellStyle name="Обычный 3 2 26 6" xfId="4626"/>
    <cellStyle name="Обычный 3 2 26 7" xfId="5367"/>
    <cellStyle name="Обычный 3 2 27" xfId="445"/>
    <cellStyle name="Обычный 3 2 27 2" xfId="1426"/>
    <cellStyle name="Обычный 3 2 27 2 2" xfId="6157"/>
    <cellStyle name="Обычный 3 2 27 3" xfId="2389"/>
    <cellStyle name="Обычный 3 2 27 3 2" xfId="7069"/>
    <cellStyle name="Обычный 3 2 27 4" xfId="3145"/>
    <cellStyle name="Обычный 3 2 27 4 2" xfId="7618"/>
    <cellStyle name="Обычный 3 2 27 5" xfId="3886"/>
    <cellStyle name="Обычный 3 2 27 6" xfId="4627"/>
    <cellStyle name="Обычный 3 2 27 7" xfId="5368"/>
    <cellStyle name="Обычный 3 2 28" xfId="425"/>
    <cellStyle name="Обычный 3 2 28 2" xfId="1427"/>
    <cellStyle name="Обычный 3 2 28 2 2" xfId="6791"/>
    <cellStyle name="Обычный 3 2 28 3" xfId="2879"/>
    <cellStyle name="Обычный 3 2 28 3 2" xfId="7068"/>
    <cellStyle name="Обычный 3 2 28 4" xfId="3621"/>
    <cellStyle name="Обычный 3 2 28 4 2" xfId="7619"/>
    <cellStyle name="Обычный 3 2 28 5" xfId="4362"/>
    <cellStyle name="Обычный 3 2 28 6" xfId="5103"/>
    <cellStyle name="Обычный 3 2 28 7" xfId="5844"/>
    <cellStyle name="Обычный 3 2 29" xfId="1428"/>
    <cellStyle name="Обычный 3 2 29 2" xfId="2892"/>
    <cellStyle name="Обычный 3 2 29 2 2" xfId="6804"/>
    <cellStyle name="Обычный 3 2 29 3" xfId="3633"/>
    <cellStyle name="Обычный 3 2 29 3 2" xfId="7324"/>
    <cellStyle name="Обычный 3 2 29 4" xfId="4374"/>
    <cellStyle name="Обычный 3 2 29 4 2" xfId="7620"/>
    <cellStyle name="Обычный 3 2 29 5" xfId="5115"/>
    <cellStyle name="Обычный 3 2 29 6" xfId="5856"/>
    <cellStyle name="Обычный 3 2 3" xfId="104"/>
    <cellStyle name="Обычный 3 2 3 2" xfId="446"/>
    <cellStyle name="Обычный 3 2 3 2 2" xfId="1430"/>
    <cellStyle name="Обычный 3 2 3 2 2 2" xfId="6828"/>
    <cellStyle name="Обычный 3 2 3 2 3" xfId="2916"/>
    <cellStyle name="Обычный 3 2 3 2 3 2" xfId="7314"/>
    <cellStyle name="Обычный 3 2 3 2 4" xfId="3657"/>
    <cellStyle name="Обычный 3 2 3 2 4 2" xfId="7622"/>
    <cellStyle name="Обычный 3 2 3 2 5" xfId="4398"/>
    <cellStyle name="Обычный 3 2 3 2 6" xfId="5139"/>
    <cellStyle name="Обычный 3 2 3 2 7" xfId="5880"/>
    <cellStyle name="Обычный 3 2 3 3" xfId="1429"/>
    <cellStyle name="Обычный 3 2 3 3 2" xfId="6158"/>
    <cellStyle name="Обычный 3 2 3 4" xfId="2390"/>
    <cellStyle name="Обычный 3 2 3 4 2" xfId="6354"/>
    <cellStyle name="Обычный 3 2 3 5" xfId="3146"/>
    <cellStyle name="Обычный 3 2 3 5 2" xfId="7621"/>
    <cellStyle name="Обычный 3 2 3 6" xfId="3887"/>
    <cellStyle name="Обычный 3 2 3 7" xfId="4628"/>
    <cellStyle name="Обычный 3 2 3 8" xfId="5369"/>
    <cellStyle name="Обычный 3 2 30" xfId="1431"/>
    <cellStyle name="Обычный 3 2 30 2" xfId="2904"/>
    <cellStyle name="Обычный 3 2 30 2 2" xfId="6816"/>
    <cellStyle name="Обычный 3 2 30 3" xfId="3645"/>
    <cellStyle name="Обычный 3 2 30 3 2" xfId="6373"/>
    <cellStyle name="Обычный 3 2 30 4" xfId="4386"/>
    <cellStyle name="Обычный 3 2 30 4 2" xfId="8259"/>
    <cellStyle name="Обычный 3 2 30 5" xfId="5127"/>
    <cellStyle name="Обычный 3 2 30 6" xfId="5868"/>
    <cellStyle name="Обычный 3 2 31" xfId="1432"/>
    <cellStyle name="Обычный 3 2 31 2" xfId="2371"/>
    <cellStyle name="Обычный 3 2 31 2 2" xfId="6138"/>
    <cellStyle name="Обычный 3 2 31 3" xfId="3127"/>
    <cellStyle name="Обычный 3 2 31 3 2" xfId="7310"/>
    <cellStyle name="Обычный 3 2 31 4" xfId="3868"/>
    <cellStyle name="Обычный 3 2 31 4 2" xfId="8333"/>
    <cellStyle name="Обычный 3 2 31 5" xfId="4609"/>
    <cellStyle name="Обычный 3 2 31 6" xfId="5350"/>
    <cellStyle name="Обычный 3 2 32" xfId="1405"/>
    <cellStyle name="Обычный 3 2 32 2" xfId="5927"/>
    <cellStyle name="Обычный 3 2 33" xfId="2204"/>
    <cellStyle name="Обычный 3 2 33 2" xfId="7082"/>
    <cellStyle name="Обычный 3 2 34" xfId="2953"/>
    <cellStyle name="Обычный 3 2 35" xfId="3694"/>
    <cellStyle name="Обычный 3 2 36" xfId="4435"/>
    <cellStyle name="Обычный 3 2 37" xfId="5181"/>
    <cellStyle name="Обычный 3 2 4" xfId="123"/>
    <cellStyle name="Обычный 3 2 4 2" xfId="447"/>
    <cellStyle name="Обычный 3 2 4 2 2" xfId="6159"/>
    <cellStyle name="Обычный 3 2 4 3" xfId="1433"/>
    <cellStyle name="Обычный 3 2 4 4" xfId="2391"/>
    <cellStyle name="Обычный 3 2 4 4 2" xfId="7399"/>
    <cellStyle name="Обычный 3 2 4 5" xfId="3147"/>
    <cellStyle name="Обычный 3 2 4 6" xfId="3888"/>
    <cellStyle name="Обычный 3 2 4 7" xfId="4629"/>
    <cellStyle name="Обычный 3 2 4 8" xfId="5370"/>
    <cellStyle name="Обычный 3 2 5" xfId="153"/>
    <cellStyle name="Обычный 3 2 5 2" xfId="448"/>
    <cellStyle name="Обычный 3 2 5 2 2" xfId="6160"/>
    <cellStyle name="Обычный 3 2 5 3" xfId="1434"/>
    <cellStyle name="Обычный 3 2 5 4" xfId="2392"/>
    <cellStyle name="Обычный 3 2 5 4 2" xfId="7683"/>
    <cellStyle name="Обычный 3 2 5 5" xfId="3148"/>
    <cellStyle name="Обычный 3 2 5 6" xfId="3889"/>
    <cellStyle name="Обычный 3 2 5 7" xfId="4630"/>
    <cellStyle name="Обычный 3 2 5 8" xfId="5371"/>
    <cellStyle name="Обычный 3 2 6" xfId="168"/>
    <cellStyle name="Обычный 3 2 6 2" xfId="449"/>
    <cellStyle name="Обычный 3 2 6 2 2" xfId="6161"/>
    <cellStyle name="Обычный 3 2 6 3" xfId="1435"/>
    <cellStyle name="Обычный 3 2 6 4" xfId="2393"/>
    <cellStyle name="Обычный 3 2 6 4 2" xfId="7401"/>
    <cellStyle name="Обычный 3 2 6 5" xfId="3149"/>
    <cellStyle name="Обычный 3 2 6 6" xfId="3890"/>
    <cellStyle name="Обычный 3 2 6 7" xfId="4631"/>
    <cellStyle name="Обычный 3 2 6 8" xfId="5372"/>
    <cellStyle name="Обычный 3 2 7" xfId="189"/>
    <cellStyle name="Обычный 3 2 7 2" xfId="450"/>
    <cellStyle name="Обычный 3 2 7 2 2" xfId="6162"/>
    <cellStyle name="Обычный 3 2 7 3" xfId="1436"/>
    <cellStyle name="Обычный 3 2 7 4" xfId="2394"/>
    <cellStyle name="Обычный 3 2 7 4 2" xfId="7364"/>
    <cellStyle name="Обычный 3 2 7 5" xfId="3150"/>
    <cellStyle name="Обычный 3 2 7 6" xfId="3891"/>
    <cellStyle name="Обычный 3 2 7 7" xfId="4632"/>
    <cellStyle name="Обычный 3 2 7 8" xfId="5373"/>
    <cellStyle name="Обычный 3 2 8" xfId="203"/>
    <cellStyle name="Обычный 3 2 8 2" xfId="451"/>
    <cellStyle name="Обычный 3 2 8 2 2" xfId="6163"/>
    <cellStyle name="Обычный 3 2 8 3" xfId="1437"/>
    <cellStyle name="Обычный 3 2 8 4" xfId="2395"/>
    <cellStyle name="Обычный 3 2 8 4 2" xfId="8327"/>
    <cellStyle name="Обычный 3 2 8 5" xfId="3151"/>
    <cellStyle name="Обычный 3 2 8 6" xfId="3892"/>
    <cellStyle name="Обычный 3 2 8 7" xfId="4633"/>
    <cellStyle name="Обычный 3 2 8 8" xfId="5374"/>
    <cellStyle name="Обычный 3 2 9" xfId="219"/>
    <cellStyle name="Обычный 3 2 9 2" xfId="452"/>
    <cellStyle name="Обычный 3 2 9 2 2" xfId="6164"/>
    <cellStyle name="Обычный 3 2 9 3" xfId="1438"/>
    <cellStyle name="Обычный 3 2 9 4" xfId="2396"/>
    <cellStyle name="Обычный 3 2 9 4 2" xfId="8329"/>
    <cellStyle name="Обычный 3 2 9 5" xfId="3152"/>
    <cellStyle name="Обычный 3 2 9 6" xfId="3893"/>
    <cellStyle name="Обычный 3 2 9 7" xfId="4634"/>
    <cellStyle name="Обычный 3 2 9 8" xfId="5375"/>
    <cellStyle name="Обычный 3 20" xfId="453"/>
    <cellStyle name="Обычный 3 20 2" xfId="1439"/>
    <cellStyle name="Обычный 3 20 2 2" xfId="6165"/>
    <cellStyle name="Обычный 3 20 3" xfId="2397"/>
    <cellStyle name="Обычный 3 20 3 2" xfId="7066"/>
    <cellStyle name="Обычный 3 20 4" xfId="3153"/>
    <cellStyle name="Обычный 3 20 4 2" xfId="8335"/>
    <cellStyle name="Обычный 3 20 5" xfId="3894"/>
    <cellStyle name="Обычный 3 20 6" xfId="4635"/>
    <cellStyle name="Обычный 3 20 7" xfId="5376"/>
    <cellStyle name="Обычный 3 21" xfId="454"/>
    <cellStyle name="Обычный 3 21 2" xfId="1440"/>
    <cellStyle name="Обычный 3 21 2 2" xfId="6166"/>
    <cellStyle name="Обычный 3 21 3" xfId="2398"/>
    <cellStyle name="Обычный 3 21 3 2" xfId="7065"/>
    <cellStyle name="Обычный 3 21 4" xfId="3154"/>
    <cellStyle name="Обычный 3 21 4 2" xfId="7624"/>
    <cellStyle name="Обычный 3 21 5" xfId="3895"/>
    <cellStyle name="Обычный 3 21 6" xfId="4636"/>
    <cellStyle name="Обычный 3 21 7" xfId="5377"/>
    <cellStyle name="Обычный 3 22" xfId="455"/>
    <cellStyle name="Обычный 3 22 2" xfId="1441"/>
    <cellStyle name="Обычный 3 22 2 2" xfId="6167"/>
    <cellStyle name="Обычный 3 22 3" xfId="2399"/>
    <cellStyle name="Обычный 3 22 3 2" xfId="7064"/>
    <cellStyle name="Обычный 3 22 4" xfId="3155"/>
    <cellStyle name="Обычный 3 22 4 2" xfId="7625"/>
    <cellStyle name="Обычный 3 22 5" xfId="3896"/>
    <cellStyle name="Обычный 3 22 6" xfId="4637"/>
    <cellStyle name="Обычный 3 22 7" xfId="5378"/>
    <cellStyle name="Обычный 3 23" xfId="456"/>
    <cellStyle name="Обычный 3 23 2" xfId="1442"/>
    <cellStyle name="Обычный 3 23 2 2" xfId="6168"/>
    <cellStyle name="Обычный 3 23 3" xfId="2400"/>
    <cellStyle name="Обычный 3 23 3 2" xfId="6347"/>
    <cellStyle name="Обычный 3 23 4" xfId="3156"/>
    <cellStyle name="Обычный 3 23 4 2" xfId="7626"/>
    <cellStyle name="Обычный 3 23 5" xfId="3897"/>
    <cellStyle name="Обычный 3 23 6" xfId="4638"/>
    <cellStyle name="Обычный 3 23 7" xfId="5379"/>
    <cellStyle name="Обычный 3 24" xfId="457"/>
    <cellStyle name="Обычный 3 24 2" xfId="1443"/>
    <cellStyle name="Обычный 3 24 2 2" xfId="6169"/>
    <cellStyle name="Обычный 3 24 3" xfId="2401"/>
    <cellStyle name="Обычный 3 24 3 2" xfId="7063"/>
    <cellStyle name="Обычный 3 24 4" xfId="3157"/>
    <cellStyle name="Обычный 3 24 4 2" xfId="7627"/>
    <cellStyle name="Обычный 3 24 5" xfId="3898"/>
    <cellStyle name="Обычный 3 24 6" xfId="4639"/>
    <cellStyle name="Обычный 3 24 7" xfId="5380"/>
    <cellStyle name="Обычный 3 25" xfId="458"/>
    <cellStyle name="Обычный 3 25 2" xfId="1444"/>
    <cellStyle name="Обычный 3 25 2 2" xfId="6170"/>
    <cellStyle name="Обычный 3 25 3" xfId="2402"/>
    <cellStyle name="Обычный 3 25 3 2" xfId="7062"/>
    <cellStyle name="Обычный 3 25 4" xfId="3158"/>
    <cellStyle name="Обычный 3 25 4 2" xfId="7628"/>
    <cellStyle name="Обычный 3 25 5" xfId="3899"/>
    <cellStyle name="Обычный 3 25 6" xfId="4640"/>
    <cellStyle name="Обычный 3 25 7" xfId="5381"/>
    <cellStyle name="Обычный 3 26" xfId="459"/>
    <cellStyle name="Обычный 3 26 2" xfId="1445"/>
    <cellStyle name="Обычный 3 26 2 2" xfId="6171"/>
    <cellStyle name="Обычный 3 26 3" xfId="2403"/>
    <cellStyle name="Обычный 3 26 3 2" xfId="7061"/>
    <cellStyle name="Обычный 3 26 4" xfId="3159"/>
    <cellStyle name="Обычный 3 26 4 2" xfId="7629"/>
    <cellStyle name="Обычный 3 26 5" xfId="3900"/>
    <cellStyle name="Обычный 3 26 6" xfId="4641"/>
    <cellStyle name="Обычный 3 26 7" xfId="5382"/>
    <cellStyle name="Обычный 3 27" xfId="460"/>
    <cellStyle name="Обычный 3 27 2" xfId="1446"/>
    <cellStyle name="Обычный 3 27 2 2" xfId="6172"/>
    <cellStyle name="Обычный 3 27 3" xfId="2404"/>
    <cellStyle name="Обычный 3 27 3 2" xfId="7010"/>
    <cellStyle name="Обычный 3 27 4" xfId="3160"/>
    <cellStyle name="Обычный 3 27 4 2" xfId="7630"/>
    <cellStyle name="Обычный 3 27 5" xfId="3901"/>
    <cellStyle name="Обычный 3 27 6" xfId="4642"/>
    <cellStyle name="Обычный 3 27 7" xfId="5383"/>
    <cellStyle name="Обычный 3 28" xfId="461"/>
    <cellStyle name="Обычный 3 28 2" xfId="1447"/>
    <cellStyle name="Обычный 3 28 2 2" xfId="6173"/>
    <cellStyle name="Обычный 3 28 3" xfId="2405"/>
    <cellStyle name="Обычный 3 28 3 2" xfId="6379"/>
    <cellStyle name="Обычный 3 28 4" xfId="3161"/>
    <cellStyle name="Обычный 3 28 4 2" xfId="7631"/>
    <cellStyle name="Обычный 3 28 5" xfId="3902"/>
    <cellStyle name="Обычный 3 28 6" xfId="4643"/>
    <cellStyle name="Обычный 3 28 7" xfId="5384"/>
    <cellStyle name="Обычный 3 29" xfId="413"/>
    <cellStyle name="Обычный 3 29 2" xfId="1448"/>
    <cellStyle name="Обычный 3 29 2 2" xfId="6788"/>
    <cellStyle name="Обычный 3 29 3" xfId="2876"/>
    <cellStyle name="Обычный 3 29 3 2" xfId="7060"/>
    <cellStyle name="Обычный 3 29 4" xfId="3619"/>
    <cellStyle name="Обычный 3 29 4 2" xfId="7632"/>
    <cellStyle name="Обычный 3 29 5" xfId="4360"/>
    <cellStyle name="Обычный 3 29 6" xfId="5101"/>
    <cellStyle name="Обычный 3 29 7" xfId="5842"/>
    <cellStyle name="Обычный 3 3" xfId="69"/>
    <cellStyle name="Обычный 3 3 2" xfId="462"/>
    <cellStyle name="Обычный 3 3 2 2" xfId="1450"/>
    <cellStyle name="Обычный 3 3 2 2 2" xfId="6838"/>
    <cellStyle name="Обычный 3 3 2 3" xfId="2926"/>
    <cellStyle name="Обычный 3 3 2 3 2" xfId="7242"/>
    <cellStyle name="Обычный 3 3 2 4" xfId="3667"/>
    <cellStyle name="Обычный 3 3 2 4 2" xfId="7634"/>
    <cellStyle name="Обычный 3 3 2 5" xfId="4408"/>
    <cellStyle name="Обычный 3 3 2 6" xfId="5149"/>
    <cellStyle name="Обычный 3 3 2 7" xfId="5890"/>
    <cellStyle name="Обычный 3 3 3" xfId="1449"/>
    <cellStyle name="Обычный 3 3 3 2" xfId="6174"/>
    <cellStyle name="Обычный 3 3 4" xfId="2406"/>
    <cellStyle name="Обычный 3 3 4 2" xfId="7059"/>
    <cellStyle name="Обычный 3 3 5" xfId="3162"/>
    <cellStyle name="Обычный 3 3 5 2" xfId="7633"/>
    <cellStyle name="Обычный 3 3 6" xfId="3903"/>
    <cellStyle name="Обычный 3 3 7" xfId="4644"/>
    <cellStyle name="Обычный 3 3 8" xfId="5385"/>
    <cellStyle name="Обычный 3 30" xfId="1451"/>
    <cellStyle name="Обычный 3 30 2" xfId="2890"/>
    <cellStyle name="Обычный 3 30 2 2" xfId="6802"/>
    <cellStyle name="Обычный 3 30 3" xfId="3631"/>
    <cellStyle name="Обычный 3 30 3 2" xfId="7189"/>
    <cellStyle name="Обычный 3 30 4" xfId="4372"/>
    <cellStyle name="Обычный 3 30 4 2" xfId="7635"/>
    <cellStyle name="Обычный 3 30 5" xfId="5113"/>
    <cellStyle name="Обычный 3 30 6" xfId="5854"/>
    <cellStyle name="Обычный 3 31" xfId="1452"/>
    <cellStyle name="Обычный 3 31 2" xfId="2902"/>
    <cellStyle name="Обычный 3 31 2 2" xfId="6814"/>
    <cellStyle name="Обычный 3 31 3" xfId="3643"/>
    <cellStyle name="Обычный 3 31 3 2" xfId="6361"/>
    <cellStyle name="Обычный 3 31 4" xfId="4384"/>
    <cellStyle name="Обычный 3 31 4 2" xfId="7636"/>
    <cellStyle name="Обычный 3 31 5" xfId="5125"/>
    <cellStyle name="Обычный 3 31 6" xfId="5866"/>
    <cellStyle name="Обычный 3 32" xfId="1453"/>
    <cellStyle name="Обычный 3 32 2" xfId="2361"/>
    <cellStyle name="Обычный 3 32 2 2" xfId="6128"/>
    <cellStyle name="Обычный 3 32 3" xfId="3117"/>
    <cellStyle name="Обычный 3 32 3 2" xfId="7237"/>
    <cellStyle name="Обычный 3 32 4" xfId="3858"/>
    <cellStyle name="Обычный 3 32 4 2" xfId="7637"/>
    <cellStyle name="Обычный 3 32 5" xfId="4599"/>
    <cellStyle name="Обычный 3 32 6" xfId="5340"/>
    <cellStyle name="Обычный 3 33" xfId="1393"/>
    <cellStyle name="Обычный 3 33 2" xfId="5917"/>
    <cellStyle name="Обычный 3 34" xfId="2202"/>
    <cellStyle name="Обычный 3 34 2" xfId="7105"/>
    <cellStyle name="Обычный 3 35" xfId="2951"/>
    <cellStyle name="Обычный 3 36" xfId="3692"/>
    <cellStyle name="Обычный 3 37" xfId="4433"/>
    <cellStyle name="Обычный 3 38" xfId="5179"/>
    <cellStyle name="Обычный 3 4" xfId="92"/>
    <cellStyle name="Обычный 3 4 2" xfId="463"/>
    <cellStyle name="Обычный 3 4 2 2" xfId="1455"/>
    <cellStyle name="Обычный 3 4 2 2 2" xfId="6826"/>
    <cellStyle name="Обычный 3 4 2 3" xfId="2914"/>
    <cellStyle name="Обычный 3 4 2 3 2" xfId="7057"/>
    <cellStyle name="Обычный 3 4 2 4" xfId="3655"/>
    <cellStyle name="Обычный 3 4 2 4 2" xfId="7639"/>
    <cellStyle name="Обычный 3 4 2 5" xfId="4396"/>
    <cellStyle name="Обычный 3 4 2 6" xfId="5137"/>
    <cellStyle name="Обычный 3 4 2 7" xfId="5878"/>
    <cellStyle name="Обычный 3 4 3" xfId="1454"/>
    <cellStyle name="Обычный 3 4 3 2" xfId="6175"/>
    <cellStyle name="Обычный 3 4 4" xfId="2407"/>
    <cellStyle name="Обычный 3 4 4 2" xfId="7058"/>
    <cellStyle name="Обычный 3 4 5" xfId="3163"/>
    <cellStyle name="Обычный 3 4 5 2" xfId="7638"/>
    <cellStyle name="Обычный 3 4 6" xfId="3904"/>
    <cellStyle name="Обычный 3 4 7" xfId="4645"/>
    <cellStyle name="Обычный 3 4 8" xfId="5386"/>
    <cellStyle name="Обычный 3 5" xfId="116"/>
    <cellStyle name="Обычный 3 5 2" xfId="464"/>
    <cellStyle name="Обычный 3 5 2 2" xfId="6176"/>
    <cellStyle name="Обычный 3 5 3" xfId="1456"/>
    <cellStyle name="Обычный 3 5 4" xfId="2408"/>
    <cellStyle name="Обычный 3 5 4 2" xfId="7640"/>
    <cellStyle name="Обычный 3 5 5" xfId="3164"/>
    <cellStyle name="Обычный 3 5 6" xfId="3905"/>
    <cellStyle name="Обычный 3 5 7" xfId="4646"/>
    <cellStyle name="Обычный 3 5 8" xfId="5387"/>
    <cellStyle name="Обычный 3 6" xfId="150"/>
    <cellStyle name="Обычный 3 6 2" xfId="465"/>
    <cellStyle name="Обычный 3 6 2 2" xfId="6177"/>
    <cellStyle name="Обычный 3 6 3" xfId="1457"/>
    <cellStyle name="Обычный 3 6 4" xfId="2409"/>
    <cellStyle name="Обычный 3 6 4 2" xfId="7641"/>
    <cellStyle name="Обычный 3 6 5" xfId="3165"/>
    <cellStyle name="Обычный 3 6 6" xfId="3906"/>
    <cellStyle name="Обычный 3 6 7" xfId="4647"/>
    <cellStyle name="Обычный 3 6 8" xfId="5388"/>
    <cellStyle name="Обычный 3 7" xfId="165"/>
    <cellStyle name="Обычный 3 7 2" xfId="466"/>
    <cellStyle name="Обычный 3 7 2 2" xfId="6178"/>
    <cellStyle name="Обычный 3 7 3" xfId="1458"/>
    <cellStyle name="Обычный 3 7 4" xfId="2410"/>
    <cellStyle name="Обычный 3 7 4 2" xfId="7642"/>
    <cellStyle name="Обычный 3 7 5" xfId="3166"/>
    <cellStyle name="Обычный 3 7 6" xfId="3907"/>
    <cellStyle name="Обычный 3 7 7" xfId="4648"/>
    <cellStyle name="Обычный 3 7 8" xfId="5389"/>
    <cellStyle name="Обычный 3 8" xfId="186"/>
    <cellStyle name="Обычный 3 8 2" xfId="467"/>
    <cellStyle name="Обычный 3 8 2 2" xfId="6179"/>
    <cellStyle name="Обычный 3 8 3" xfId="1459"/>
    <cellStyle name="Обычный 3 8 4" xfId="2411"/>
    <cellStyle name="Обычный 3 8 4 2" xfId="7376"/>
    <cellStyle name="Обычный 3 8 5" xfId="3167"/>
    <cellStyle name="Обычный 3 8 6" xfId="3908"/>
    <cellStyle name="Обычный 3 8 7" xfId="4649"/>
    <cellStyle name="Обычный 3 8 8" xfId="5390"/>
    <cellStyle name="Обычный 3 9" xfId="200"/>
    <cellStyle name="Обычный 3 9 2" xfId="468"/>
    <cellStyle name="Обычный 3 9 2 2" xfId="6180"/>
    <cellStyle name="Обычный 3 9 3" xfId="1460"/>
    <cellStyle name="Обычный 3 9 4" xfId="2412"/>
    <cellStyle name="Обычный 3 9 4 2" xfId="7644"/>
    <cellStyle name="Обычный 3 9 5" xfId="3168"/>
    <cellStyle name="Обычный 3 9 6" xfId="3909"/>
    <cellStyle name="Обычный 3 9 7" xfId="4650"/>
    <cellStyle name="Обычный 3 9 8" xfId="5391"/>
    <cellStyle name="Обычный 4" xfId="49"/>
    <cellStyle name="Обычный 4 2" xfId="1461"/>
    <cellStyle name="Обычный 5" xfId="1"/>
    <cellStyle name="Обычный 5 2" xfId="469"/>
    <cellStyle name="Обычный 5 2 2" xfId="470"/>
    <cellStyle name="Обычный 5 2 2 2" xfId="1464"/>
    <cellStyle name="Обычный 5 2 3" xfId="1463"/>
    <cellStyle name="Обычный 5 3" xfId="1462"/>
    <cellStyle name="Обычный 6" xfId="48"/>
    <cellStyle name="Обычный 6 2" xfId="88"/>
    <cellStyle name="Обычный 6 2 2" xfId="1466"/>
    <cellStyle name="Обычный 6 2 3" xfId="7645"/>
    <cellStyle name="Обычный 6 3" xfId="471"/>
    <cellStyle name="Обычный 6 3 2" xfId="1467"/>
    <cellStyle name="Обычный 6 4" xfId="1465"/>
    <cellStyle name="Обычный 7" xfId="3"/>
    <cellStyle name="Обычный 7 2" xfId="472"/>
    <cellStyle name="Обычный 7 2 2" xfId="1469"/>
    <cellStyle name="Обычный 7 3" xfId="1468"/>
    <cellStyle name="Обычный 8" xfId="5"/>
    <cellStyle name="Обычный 8 2" xfId="473"/>
    <cellStyle name="Обычный 8 2 2" xfId="1471"/>
    <cellStyle name="Обычный 8 3" xfId="1470"/>
    <cellStyle name="Обычный 9" xfId="60"/>
    <cellStyle name="Обычный 9 2" xfId="474"/>
    <cellStyle name="Обычный 9 2 2" xfId="1473"/>
    <cellStyle name="Обычный 9 3" xfId="1472"/>
    <cellStyle name="Обычный_Отчет по СС РО" xfId="8342"/>
    <cellStyle name="Обычный_Отчет по СС РО отчет-март" xfId="8343"/>
    <cellStyle name="Плохой" xfId="18" builtinId="27" customBuiltin="1"/>
    <cellStyle name="Пояснение" xfId="25" builtinId="53" customBuiltin="1"/>
    <cellStyle name="Пояснение 2" xfId="475"/>
    <cellStyle name="Пояснение 2 2" xfId="1474"/>
    <cellStyle name="Пояснение 2 3" xfId="7646"/>
    <cellStyle name="Примечание 2" xfId="91"/>
    <cellStyle name="Примечание 2 2" xfId="476"/>
    <cellStyle name="Примечание 2 2 2" xfId="6186"/>
    <cellStyle name="Примечание 2 3" xfId="1475"/>
    <cellStyle name="Примечание 2 4" xfId="2413"/>
    <cellStyle name="Примечание 2 4 2" xfId="7647"/>
    <cellStyle name="Примечание 2 5" xfId="3169"/>
    <cellStyle name="Примечание 2 6" xfId="3910"/>
    <cellStyle name="Примечание 2 7" xfId="4651"/>
    <cellStyle name="Примечание 2 8" xfId="5392"/>
    <cellStyle name="Примечание 3" xfId="138"/>
    <cellStyle name="Примечание 3 2" xfId="477"/>
    <cellStyle name="Примечание 3 2 2" xfId="6187"/>
    <cellStyle name="Примечание 3 3" xfId="1476"/>
    <cellStyle name="Примечание 3 4" xfId="2414"/>
    <cellStyle name="Примечание 3 4 2" xfId="7648"/>
    <cellStyle name="Примечание 3 5" xfId="3170"/>
    <cellStyle name="Примечание 3 6" xfId="3911"/>
    <cellStyle name="Примечание 3 7" xfId="4652"/>
    <cellStyle name="Примечание 3 8" xfId="5393"/>
    <cellStyle name="Примечание 4" xfId="478"/>
    <cellStyle name="Примечание 4 2" xfId="1477"/>
    <cellStyle name="Примечание 4 2 2" xfId="6188"/>
    <cellStyle name="Примечание 4 3" xfId="2415"/>
    <cellStyle name="Примечание 4 3 2" xfId="7056"/>
    <cellStyle name="Примечание 4 4" xfId="3171"/>
    <cellStyle name="Примечание 4 4 2" xfId="7649"/>
    <cellStyle name="Примечание 4 5" xfId="3912"/>
    <cellStyle name="Примечание 4 6" xfId="4653"/>
    <cellStyle name="Примечание 4 7" xfId="5394"/>
    <cellStyle name="Примечание 5" xfId="479"/>
    <cellStyle name="Примечание 5 2" xfId="1478"/>
    <cellStyle name="Примечание 5 2 2" xfId="6189"/>
    <cellStyle name="Примечание 5 3" xfId="2416"/>
    <cellStyle name="Примечание 5 3 2" xfId="7055"/>
    <cellStyle name="Примечание 5 4" xfId="3172"/>
    <cellStyle name="Примечание 5 4 2" xfId="7650"/>
    <cellStyle name="Примечание 5 5" xfId="3913"/>
    <cellStyle name="Примечание 5 6" xfId="4654"/>
    <cellStyle name="Примечание 5 7" xfId="5395"/>
    <cellStyle name="Примечание 6" xfId="1479"/>
    <cellStyle name="Примечание 6 2" xfId="2863"/>
    <cellStyle name="Примечание 6 2 2" xfId="6775"/>
    <cellStyle name="Примечание 6 3" xfId="3606"/>
    <cellStyle name="Примечание 6 3 2" xfId="7330"/>
    <cellStyle name="Примечание 6 4" xfId="4347"/>
    <cellStyle name="Примечание 6 4 2" xfId="7651"/>
    <cellStyle name="Примечание 6 5" xfId="5088"/>
    <cellStyle name="Примечание 6 6" xfId="5829"/>
    <cellStyle name="Примечание 7" xfId="1480"/>
    <cellStyle name="Примечание 7 2" xfId="2945"/>
    <cellStyle name="Примечание 7 2 2" xfId="6857"/>
    <cellStyle name="Примечание 7 3" xfId="3686"/>
    <cellStyle name="Примечание 7 3 2" xfId="7054"/>
    <cellStyle name="Примечание 7 4" xfId="4427"/>
    <cellStyle name="Примечание 7 4 2" xfId="7652"/>
    <cellStyle name="Примечание 7 5" xfId="5168"/>
    <cellStyle name="Примечание 7 6" xfId="5909"/>
    <cellStyle name="Связанная ячейка" xfId="22" builtinId="24" customBuiltin="1"/>
    <cellStyle name="Текст предупреждения" xfId="24" builtinId="11" customBuiltin="1"/>
    <cellStyle name="Финансовый 2" xfId="47"/>
    <cellStyle name="Финансовый 2 10" xfId="164"/>
    <cellStyle name="Финансовый 2 10 2" xfId="482"/>
    <cellStyle name="Финансовый 2 10 2 2" xfId="1483"/>
    <cellStyle name="Финансовый 2 10 2 3" xfId="8317"/>
    <cellStyle name="Финансовый 2 10 3" xfId="481"/>
    <cellStyle name="Финансовый 2 10 3 2" xfId="7052"/>
    <cellStyle name="Финансовый 2 10 4" xfId="1482"/>
    <cellStyle name="Финансовый 2 10 4 2" xfId="7654"/>
    <cellStyle name="Финансовый 2 11" xfId="187"/>
    <cellStyle name="Финансовый 2 11 2" xfId="484"/>
    <cellStyle name="Финансовый 2 11 2 2" xfId="1485"/>
    <cellStyle name="Финансовый 2 11 2 2 2" xfId="6193"/>
    <cellStyle name="Финансовый 2 11 2 3" xfId="2419"/>
    <cellStyle name="Финансовый 2 11 2 3 2" xfId="6790"/>
    <cellStyle name="Финансовый 2 11 2 4" xfId="3175"/>
    <cellStyle name="Финансовый 2 11 2 4 2" xfId="7656"/>
    <cellStyle name="Финансовый 2 11 2 5" xfId="3916"/>
    <cellStyle name="Финансовый 2 11 2 6" xfId="4657"/>
    <cellStyle name="Финансовый 2 11 2 7" xfId="5398"/>
    <cellStyle name="Финансовый 2 11 3" xfId="483"/>
    <cellStyle name="Финансовый 2 11 3 2" xfId="6192"/>
    <cellStyle name="Финансовый 2 11 4" xfId="1484"/>
    <cellStyle name="Финансовый 2 11 5" xfId="2418"/>
    <cellStyle name="Финансовый 2 11 5 2" xfId="7655"/>
    <cellStyle name="Финансовый 2 11 6" xfId="3174"/>
    <cellStyle name="Финансовый 2 11 7" xfId="3915"/>
    <cellStyle name="Финансовый 2 11 8" xfId="4656"/>
    <cellStyle name="Финансовый 2 11 9" xfId="5397"/>
    <cellStyle name="Финансовый 2 12" xfId="201"/>
    <cellStyle name="Финансовый 2 12 2" xfId="486"/>
    <cellStyle name="Финансовый 2 12 2 2" xfId="1487"/>
    <cellStyle name="Финансовый 2 12 2 2 2" xfId="6195"/>
    <cellStyle name="Финансовый 2 12 2 3" xfId="2421"/>
    <cellStyle name="Финансовый 2 12 2 3 2" xfId="6392"/>
    <cellStyle name="Финансовый 2 12 2 4" xfId="3177"/>
    <cellStyle name="Финансовый 2 12 2 4 2" xfId="7658"/>
    <cellStyle name="Финансовый 2 12 2 5" xfId="3918"/>
    <cellStyle name="Финансовый 2 12 2 6" xfId="4659"/>
    <cellStyle name="Финансовый 2 12 2 7" xfId="5400"/>
    <cellStyle name="Финансовый 2 12 3" xfId="485"/>
    <cellStyle name="Финансовый 2 12 3 2" xfId="6194"/>
    <cellStyle name="Финансовый 2 12 4" xfId="1486"/>
    <cellStyle name="Финансовый 2 12 5" xfId="2420"/>
    <cellStyle name="Финансовый 2 12 5 2" xfId="7657"/>
    <cellStyle name="Финансовый 2 12 6" xfId="3176"/>
    <cellStyle name="Финансовый 2 12 7" xfId="3917"/>
    <cellStyle name="Финансовый 2 12 8" xfId="4658"/>
    <cellStyle name="Финансовый 2 12 9" xfId="5399"/>
    <cellStyle name="Финансовый 2 13" xfId="220"/>
    <cellStyle name="Финансовый 2 13 2" xfId="488"/>
    <cellStyle name="Финансовый 2 13 2 2" xfId="1489"/>
    <cellStyle name="Финансовый 2 13 2 3" xfId="7660"/>
    <cellStyle name="Финансовый 2 13 3" xfId="487"/>
    <cellStyle name="Финансовый 2 13 3 2" xfId="7261"/>
    <cellStyle name="Финансовый 2 13 4" xfId="1488"/>
    <cellStyle name="Финансовый 2 13 4 2" xfId="7659"/>
    <cellStyle name="Финансовый 2 14" xfId="229"/>
    <cellStyle name="Финансовый 2 14 2" xfId="490"/>
    <cellStyle name="Финансовый 2 14 2 2" xfId="1491"/>
    <cellStyle name="Финансовый 2 14 2 2 2" xfId="6198"/>
    <cellStyle name="Финансовый 2 14 2 3" xfId="2423"/>
    <cellStyle name="Финансовый 2 14 2 3 2" xfId="7051"/>
    <cellStyle name="Финансовый 2 14 2 4" xfId="3179"/>
    <cellStyle name="Финансовый 2 14 2 4 2" xfId="7662"/>
    <cellStyle name="Финансовый 2 14 2 5" xfId="3920"/>
    <cellStyle name="Финансовый 2 14 2 6" xfId="4661"/>
    <cellStyle name="Финансовый 2 14 2 7" xfId="5402"/>
    <cellStyle name="Финансовый 2 14 3" xfId="489"/>
    <cellStyle name="Финансовый 2 14 3 2" xfId="6197"/>
    <cellStyle name="Финансовый 2 14 4" xfId="1490"/>
    <cellStyle name="Финансовый 2 14 5" xfId="2422"/>
    <cellStyle name="Финансовый 2 14 5 2" xfId="7661"/>
    <cellStyle name="Финансовый 2 14 6" xfId="3178"/>
    <cellStyle name="Финансовый 2 14 7" xfId="3919"/>
    <cellStyle name="Финансовый 2 14 8" xfId="4660"/>
    <cellStyle name="Финансовый 2 14 9" xfId="5401"/>
    <cellStyle name="Финансовый 2 15" xfId="491"/>
    <cellStyle name="Финансовый 2 15 2" xfId="1492"/>
    <cellStyle name="Финансовый 2 16" xfId="492"/>
    <cellStyle name="Финансовый 2 16 2" xfId="493"/>
    <cellStyle name="Финансовый 2 16 2 2" xfId="1494"/>
    <cellStyle name="Финансовый 2 16 2 2 2" xfId="6200"/>
    <cellStyle name="Финансовый 2 16 2 3" xfId="2425"/>
    <cellStyle name="Финансовый 2 16 2 3 2" xfId="7050"/>
    <cellStyle name="Финансовый 2 16 2 4" xfId="3181"/>
    <cellStyle name="Финансовый 2 16 2 4 2" xfId="7663"/>
    <cellStyle name="Финансовый 2 16 2 5" xfId="3922"/>
    <cellStyle name="Финансовый 2 16 2 6" xfId="4663"/>
    <cellStyle name="Финансовый 2 16 2 7" xfId="5404"/>
    <cellStyle name="Финансовый 2 16 3" xfId="1493"/>
    <cellStyle name="Финансовый 2 16 3 2" xfId="6199"/>
    <cellStyle name="Финансовый 2 16 4" xfId="2424"/>
    <cellStyle name="Финансовый 2 16 4 2" xfId="7089"/>
    <cellStyle name="Финансовый 2 16 5" xfId="3180"/>
    <cellStyle name="Финансовый 2 16 5 2" xfId="8326"/>
    <cellStyle name="Финансовый 2 16 6" xfId="3921"/>
    <cellStyle name="Финансовый 2 16 7" xfId="4662"/>
    <cellStyle name="Финансовый 2 16 8" xfId="5403"/>
    <cellStyle name="Финансовый 2 17" xfId="494"/>
    <cellStyle name="Финансовый 2 17 2" xfId="495"/>
    <cellStyle name="Финансовый 2 17 2 2" xfId="1496"/>
    <cellStyle name="Финансовый 2 17 2 2 2" xfId="6202"/>
    <cellStyle name="Финансовый 2 17 2 3" xfId="2427"/>
    <cellStyle name="Финансовый 2 17 2 3 2" xfId="7048"/>
    <cellStyle name="Финансовый 2 17 2 4" xfId="3183"/>
    <cellStyle name="Финансовый 2 17 2 4 2" xfId="7665"/>
    <cellStyle name="Финансовый 2 17 2 5" xfId="3924"/>
    <cellStyle name="Финансовый 2 17 2 6" xfId="4665"/>
    <cellStyle name="Финансовый 2 17 2 7" xfId="5406"/>
    <cellStyle name="Финансовый 2 17 3" xfId="1495"/>
    <cellStyle name="Финансовый 2 17 3 2" xfId="6201"/>
    <cellStyle name="Финансовый 2 17 4" xfId="2426"/>
    <cellStyle name="Финансовый 2 17 4 2" xfId="7049"/>
    <cellStyle name="Финансовый 2 17 5" xfId="3182"/>
    <cellStyle name="Финансовый 2 17 5 2" xfId="7664"/>
    <cellStyle name="Финансовый 2 17 6" xfId="3923"/>
    <cellStyle name="Финансовый 2 17 7" xfId="4664"/>
    <cellStyle name="Финансовый 2 17 8" xfId="5405"/>
    <cellStyle name="Финансовый 2 18" xfId="496"/>
    <cellStyle name="Финансовый 2 18 2" xfId="497"/>
    <cellStyle name="Финансовый 2 18 2 2" xfId="1498"/>
    <cellStyle name="Финансовый 2 18 2 2 2" xfId="6204"/>
    <cellStyle name="Финансовый 2 18 2 3" xfId="2429"/>
    <cellStyle name="Финансовый 2 18 2 3 2" xfId="7047"/>
    <cellStyle name="Финансовый 2 18 2 4" xfId="3185"/>
    <cellStyle name="Финансовый 2 18 2 4 2" xfId="7667"/>
    <cellStyle name="Финансовый 2 18 2 5" xfId="3926"/>
    <cellStyle name="Финансовый 2 18 2 6" xfId="4667"/>
    <cellStyle name="Финансовый 2 18 2 7" xfId="5408"/>
    <cellStyle name="Финансовый 2 18 3" xfId="1497"/>
    <cellStyle name="Финансовый 2 18 3 2" xfId="6203"/>
    <cellStyle name="Финансовый 2 18 4" xfId="2428"/>
    <cellStyle name="Финансовый 2 18 4 2" xfId="7243"/>
    <cellStyle name="Финансовый 2 18 5" xfId="3184"/>
    <cellStyle name="Финансовый 2 18 5 2" xfId="7666"/>
    <cellStyle name="Финансовый 2 18 6" xfId="3925"/>
    <cellStyle name="Финансовый 2 18 7" xfId="4666"/>
    <cellStyle name="Финансовый 2 18 8" xfId="5407"/>
    <cellStyle name="Финансовый 2 19" xfId="498"/>
    <cellStyle name="Финансовый 2 19 2" xfId="499"/>
    <cellStyle name="Финансовый 2 19 2 2" xfId="1500"/>
    <cellStyle name="Финансовый 2 19 2 2 2" xfId="6206"/>
    <cellStyle name="Финансовый 2 19 2 3" xfId="2431"/>
    <cellStyle name="Финансовый 2 19 2 3 2" xfId="7045"/>
    <cellStyle name="Финансовый 2 19 2 4" xfId="3187"/>
    <cellStyle name="Финансовый 2 19 2 4 2" xfId="7669"/>
    <cellStyle name="Финансовый 2 19 2 5" xfId="3928"/>
    <cellStyle name="Финансовый 2 19 2 6" xfId="4669"/>
    <cellStyle name="Финансовый 2 19 2 7" xfId="5410"/>
    <cellStyle name="Финансовый 2 19 3" xfId="1499"/>
    <cellStyle name="Финансовый 2 19 3 2" xfId="6205"/>
    <cellStyle name="Финансовый 2 19 4" xfId="2430"/>
    <cellStyle name="Финансовый 2 19 4 2" xfId="7046"/>
    <cellStyle name="Финансовый 2 19 5" xfId="3186"/>
    <cellStyle name="Финансовый 2 19 5 2" xfId="7668"/>
    <cellStyle name="Финансовый 2 19 6" xfId="3927"/>
    <cellStyle name="Финансовый 2 19 7" xfId="4668"/>
    <cellStyle name="Финансовый 2 19 8" xfId="5409"/>
    <cellStyle name="Финансовый 2 2" xfId="57"/>
    <cellStyle name="Финансовый 2 2 10" xfId="190"/>
    <cellStyle name="Финансовый 2 2 10 2" xfId="502"/>
    <cellStyle name="Финансовый 2 2 10 2 2" xfId="1503"/>
    <cellStyle name="Финансовый 2 2 10 2 2 2" xfId="6209"/>
    <cellStyle name="Финансовый 2 2 10 2 3" xfId="2434"/>
    <cellStyle name="Финансовый 2 2 10 2 3 2" xfId="6357"/>
    <cellStyle name="Финансовый 2 2 10 2 4" xfId="3190"/>
    <cellStyle name="Финансовый 2 2 10 2 4 2" xfId="7672"/>
    <cellStyle name="Финансовый 2 2 10 2 5" xfId="3931"/>
    <cellStyle name="Финансовый 2 2 10 2 6" xfId="4672"/>
    <cellStyle name="Финансовый 2 2 10 2 7" xfId="5413"/>
    <cellStyle name="Финансовый 2 2 10 3" xfId="501"/>
    <cellStyle name="Финансовый 2 2 10 3 2" xfId="6208"/>
    <cellStyle name="Финансовый 2 2 10 4" xfId="1502"/>
    <cellStyle name="Финансовый 2 2 10 5" xfId="2433"/>
    <cellStyle name="Финансовый 2 2 10 5 2" xfId="7671"/>
    <cellStyle name="Финансовый 2 2 10 6" xfId="3189"/>
    <cellStyle name="Финансовый 2 2 10 7" xfId="3930"/>
    <cellStyle name="Финансовый 2 2 10 8" xfId="4671"/>
    <cellStyle name="Финансовый 2 2 10 9" xfId="5412"/>
    <cellStyle name="Финансовый 2 2 11" xfId="204"/>
    <cellStyle name="Финансовый 2 2 11 2" xfId="504"/>
    <cellStyle name="Финансовый 2 2 11 2 2" xfId="1505"/>
    <cellStyle name="Финансовый 2 2 11 2 2 2" xfId="6211"/>
    <cellStyle name="Финансовый 2 2 11 2 3" xfId="2436"/>
    <cellStyle name="Финансовый 2 2 11 2 3 2" xfId="7044"/>
    <cellStyle name="Финансовый 2 2 11 2 4" xfId="3192"/>
    <cellStyle name="Финансовый 2 2 11 2 4 2" xfId="7674"/>
    <cellStyle name="Финансовый 2 2 11 2 5" xfId="3933"/>
    <cellStyle name="Финансовый 2 2 11 2 6" xfId="4674"/>
    <cellStyle name="Финансовый 2 2 11 2 7" xfId="5415"/>
    <cellStyle name="Финансовый 2 2 11 3" xfId="503"/>
    <cellStyle name="Финансовый 2 2 11 3 2" xfId="6210"/>
    <cellStyle name="Финансовый 2 2 11 4" xfId="1504"/>
    <cellStyle name="Финансовый 2 2 11 5" xfId="2435"/>
    <cellStyle name="Финансовый 2 2 11 5 2" xfId="7673"/>
    <cellStyle name="Финансовый 2 2 11 6" xfId="3191"/>
    <cellStyle name="Финансовый 2 2 11 7" xfId="3932"/>
    <cellStyle name="Финансовый 2 2 11 8" xfId="4673"/>
    <cellStyle name="Финансовый 2 2 11 9" xfId="5414"/>
    <cellStyle name="Финансовый 2 2 12" xfId="221"/>
    <cellStyle name="Финансовый 2 2 12 2" xfId="506"/>
    <cellStyle name="Финансовый 2 2 12 2 2" xfId="1507"/>
    <cellStyle name="Финансовый 2 2 12 2 3" xfId="8307"/>
    <cellStyle name="Финансовый 2 2 12 3" xfId="505"/>
    <cellStyle name="Финансовый 2 2 12 3 2" xfId="7074"/>
    <cellStyle name="Финансовый 2 2 12 4" xfId="1506"/>
    <cellStyle name="Финансовый 2 2 12 4 2" xfId="7675"/>
    <cellStyle name="Финансовый 2 2 13" xfId="232"/>
    <cellStyle name="Финансовый 2 2 13 2" xfId="508"/>
    <cellStyle name="Финансовый 2 2 13 2 2" xfId="1509"/>
    <cellStyle name="Финансовый 2 2 13 2 2 2" xfId="6214"/>
    <cellStyle name="Финансовый 2 2 13 2 3" xfId="2438"/>
    <cellStyle name="Финансовый 2 2 13 2 3 2" xfId="7043"/>
    <cellStyle name="Финансовый 2 2 13 2 4" xfId="3194"/>
    <cellStyle name="Финансовый 2 2 13 2 4 2" xfId="7677"/>
    <cellStyle name="Финансовый 2 2 13 2 5" xfId="3935"/>
    <cellStyle name="Финансовый 2 2 13 2 6" xfId="4676"/>
    <cellStyle name="Финансовый 2 2 13 2 7" xfId="5417"/>
    <cellStyle name="Финансовый 2 2 13 3" xfId="507"/>
    <cellStyle name="Финансовый 2 2 13 3 2" xfId="6213"/>
    <cellStyle name="Финансовый 2 2 13 4" xfId="1508"/>
    <cellStyle name="Финансовый 2 2 13 5" xfId="2437"/>
    <cellStyle name="Финансовый 2 2 13 5 2" xfId="7676"/>
    <cellStyle name="Финансовый 2 2 13 6" xfId="3193"/>
    <cellStyle name="Финансовый 2 2 13 7" xfId="3934"/>
    <cellStyle name="Финансовый 2 2 13 8" xfId="4675"/>
    <cellStyle name="Финансовый 2 2 13 9" xfId="5416"/>
    <cellStyle name="Финансовый 2 2 14" xfId="509"/>
    <cellStyle name="Финансовый 2 2 14 2" xfId="1510"/>
    <cellStyle name="Финансовый 2 2 15" xfId="510"/>
    <cellStyle name="Финансовый 2 2 15 2" xfId="511"/>
    <cellStyle name="Финансовый 2 2 15 2 2" xfId="1512"/>
    <cellStyle name="Финансовый 2 2 15 2 2 2" xfId="6216"/>
    <cellStyle name="Финансовый 2 2 15 2 3" xfId="2440"/>
    <cellStyle name="Финансовый 2 2 15 2 3 2" xfId="7041"/>
    <cellStyle name="Финансовый 2 2 15 2 4" xfId="3196"/>
    <cellStyle name="Финансовый 2 2 15 2 4 2" xfId="7679"/>
    <cellStyle name="Финансовый 2 2 15 2 5" xfId="3937"/>
    <cellStyle name="Финансовый 2 2 15 2 6" xfId="4678"/>
    <cellStyle name="Финансовый 2 2 15 2 7" xfId="5419"/>
    <cellStyle name="Финансовый 2 2 15 3" xfId="1511"/>
    <cellStyle name="Финансовый 2 2 15 3 2" xfId="6215"/>
    <cellStyle name="Финансовый 2 2 15 4" xfId="2439"/>
    <cellStyle name="Финансовый 2 2 15 4 2" xfId="7042"/>
    <cellStyle name="Финансовый 2 2 15 5" xfId="3195"/>
    <cellStyle name="Финансовый 2 2 15 5 2" xfId="7678"/>
    <cellStyle name="Финансовый 2 2 15 6" xfId="3936"/>
    <cellStyle name="Финансовый 2 2 15 7" xfId="4677"/>
    <cellStyle name="Финансовый 2 2 15 8" xfId="5418"/>
    <cellStyle name="Финансовый 2 2 16" xfId="512"/>
    <cellStyle name="Финансовый 2 2 16 2" xfId="513"/>
    <cellStyle name="Финансовый 2 2 16 2 2" xfId="1514"/>
    <cellStyle name="Финансовый 2 2 16 2 2 2" xfId="6218"/>
    <cellStyle name="Финансовый 2 2 16 2 3" xfId="2442"/>
    <cellStyle name="Финансовый 2 2 16 2 3 2" xfId="7039"/>
    <cellStyle name="Финансовый 2 2 16 2 4" xfId="3198"/>
    <cellStyle name="Финансовый 2 2 16 2 4 2" xfId="7681"/>
    <cellStyle name="Финансовый 2 2 16 2 5" xfId="3939"/>
    <cellStyle name="Финансовый 2 2 16 2 6" xfId="4680"/>
    <cellStyle name="Финансовый 2 2 16 2 7" xfId="5421"/>
    <cellStyle name="Финансовый 2 2 16 3" xfId="1513"/>
    <cellStyle name="Финансовый 2 2 16 3 2" xfId="6217"/>
    <cellStyle name="Финансовый 2 2 16 4" xfId="2441"/>
    <cellStyle name="Финансовый 2 2 16 4 2" xfId="7040"/>
    <cellStyle name="Финансовый 2 2 16 5" xfId="3197"/>
    <cellStyle name="Финансовый 2 2 16 5 2" xfId="7680"/>
    <cellStyle name="Финансовый 2 2 16 6" xfId="3938"/>
    <cellStyle name="Финансовый 2 2 16 7" xfId="4679"/>
    <cellStyle name="Финансовый 2 2 16 8" xfId="5420"/>
    <cellStyle name="Финансовый 2 2 17" xfId="514"/>
    <cellStyle name="Финансовый 2 2 17 2" xfId="515"/>
    <cellStyle name="Финансовый 2 2 17 2 2" xfId="1516"/>
    <cellStyle name="Финансовый 2 2 17 2 2 2" xfId="6220"/>
    <cellStyle name="Финансовый 2 2 17 2 3" xfId="2444"/>
    <cellStyle name="Финансовый 2 2 17 2 3 2" xfId="7338"/>
    <cellStyle name="Финансовый 2 2 17 2 4" xfId="3200"/>
    <cellStyle name="Финансовый 2 2 17 2 4 2" xfId="8225"/>
    <cellStyle name="Финансовый 2 2 17 2 5" xfId="3941"/>
    <cellStyle name="Финансовый 2 2 17 2 6" xfId="4682"/>
    <cellStyle name="Финансовый 2 2 17 2 7" xfId="5423"/>
    <cellStyle name="Финансовый 2 2 17 3" xfId="1515"/>
    <cellStyle name="Финансовый 2 2 17 3 2" xfId="6219"/>
    <cellStyle name="Финансовый 2 2 17 4" xfId="2443"/>
    <cellStyle name="Финансовый 2 2 17 4 2" xfId="7038"/>
    <cellStyle name="Финансовый 2 2 17 5" xfId="3199"/>
    <cellStyle name="Финансовый 2 2 17 5 2" xfId="7682"/>
    <cellStyle name="Финансовый 2 2 17 6" xfId="3940"/>
    <cellStyle name="Финансовый 2 2 17 7" xfId="4681"/>
    <cellStyle name="Финансовый 2 2 17 8" xfId="5422"/>
    <cellStyle name="Финансовый 2 2 18" xfId="516"/>
    <cellStyle name="Финансовый 2 2 18 2" xfId="517"/>
    <cellStyle name="Финансовый 2 2 18 2 2" xfId="1518"/>
    <cellStyle name="Финансовый 2 2 18 2 2 2" xfId="6222"/>
    <cellStyle name="Финансовый 2 2 18 2 3" xfId="2446"/>
    <cellStyle name="Финансовый 2 2 18 2 3 2" xfId="7036"/>
    <cellStyle name="Финансовый 2 2 18 2 4" xfId="3202"/>
    <cellStyle name="Финансовый 2 2 18 2 4 2" xfId="7685"/>
    <cellStyle name="Финансовый 2 2 18 2 5" xfId="3943"/>
    <cellStyle name="Финансовый 2 2 18 2 6" xfId="4684"/>
    <cellStyle name="Финансовый 2 2 18 2 7" xfId="5425"/>
    <cellStyle name="Финансовый 2 2 18 3" xfId="1517"/>
    <cellStyle name="Финансовый 2 2 18 3 2" xfId="6221"/>
    <cellStyle name="Финансовый 2 2 18 4" xfId="2445"/>
    <cellStyle name="Финансовый 2 2 18 4 2" xfId="7037"/>
    <cellStyle name="Финансовый 2 2 18 5" xfId="3201"/>
    <cellStyle name="Финансовый 2 2 18 5 2" xfId="7684"/>
    <cellStyle name="Финансовый 2 2 18 6" xfId="3942"/>
    <cellStyle name="Финансовый 2 2 18 7" xfId="4683"/>
    <cellStyle name="Финансовый 2 2 18 8" xfId="5424"/>
    <cellStyle name="Финансовый 2 2 19" xfId="518"/>
    <cellStyle name="Финансовый 2 2 19 2" xfId="519"/>
    <cellStyle name="Финансовый 2 2 19 2 2" xfId="1520"/>
    <cellStyle name="Финансовый 2 2 19 2 2 2" xfId="6224"/>
    <cellStyle name="Финансовый 2 2 19 2 3" xfId="2448"/>
    <cellStyle name="Финансовый 2 2 19 2 3 2" xfId="6716"/>
    <cellStyle name="Финансовый 2 2 19 2 4" xfId="3204"/>
    <cellStyle name="Финансовый 2 2 19 2 4 2" xfId="7687"/>
    <cellStyle name="Финансовый 2 2 19 2 5" xfId="3945"/>
    <cellStyle name="Финансовый 2 2 19 2 6" xfId="4686"/>
    <cellStyle name="Финансовый 2 2 19 2 7" xfId="5427"/>
    <cellStyle name="Финансовый 2 2 19 3" xfId="1519"/>
    <cellStyle name="Финансовый 2 2 19 3 2" xfId="6223"/>
    <cellStyle name="Финансовый 2 2 19 4" xfId="2447"/>
    <cellStyle name="Финансовый 2 2 19 4 2" xfId="7035"/>
    <cellStyle name="Финансовый 2 2 19 5" xfId="3203"/>
    <cellStyle name="Финансовый 2 2 19 5 2" xfId="7686"/>
    <cellStyle name="Финансовый 2 2 19 6" xfId="3944"/>
    <cellStyle name="Финансовый 2 2 19 7" xfId="4685"/>
    <cellStyle name="Финансовый 2 2 19 8" xfId="5426"/>
    <cellStyle name="Финансовый 2 2 2" xfId="73"/>
    <cellStyle name="Финансовый 2 2 2 10" xfId="5428"/>
    <cellStyle name="Финансовый 2 2 2 2" xfId="521"/>
    <cellStyle name="Финансовый 2 2 2 2 2" xfId="1522"/>
    <cellStyle name="Финансовый 2 2 2 2 2 2" xfId="6226"/>
    <cellStyle name="Финансовый 2 2 2 2 3" xfId="2450"/>
    <cellStyle name="Финансовый 2 2 2 2 3 2" xfId="7347"/>
    <cellStyle name="Финансовый 2 2 2 2 4" xfId="3206"/>
    <cellStyle name="Финансовый 2 2 2 2 4 2" xfId="7689"/>
    <cellStyle name="Финансовый 2 2 2 2 5" xfId="3947"/>
    <cellStyle name="Финансовый 2 2 2 2 6" xfId="4688"/>
    <cellStyle name="Финансовый 2 2 2 2 7" xfId="5429"/>
    <cellStyle name="Финансовый 2 2 2 3" xfId="520"/>
    <cellStyle name="Финансовый 2 2 2 3 2" xfId="1523"/>
    <cellStyle name="Финансовый 2 2 2 3 2 2" xfId="6227"/>
    <cellStyle name="Финансовый 2 2 2 3 3" xfId="2451"/>
    <cellStyle name="Финансовый 2 2 2 3 3 2" xfId="7033"/>
    <cellStyle name="Финансовый 2 2 2 3 4" xfId="3207"/>
    <cellStyle name="Финансовый 2 2 2 3 4 2" xfId="7690"/>
    <cellStyle name="Финансовый 2 2 2 3 5" xfId="3948"/>
    <cellStyle name="Финансовый 2 2 2 3 6" xfId="4689"/>
    <cellStyle name="Финансовый 2 2 2 3 7" xfId="5430"/>
    <cellStyle name="Финансовый 2 2 2 4" xfId="1524"/>
    <cellStyle name="Финансовый 2 2 2 4 2" xfId="2929"/>
    <cellStyle name="Финансовый 2 2 2 4 2 2" xfId="6841"/>
    <cellStyle name="Финансовый 2 2 2 4 3" xfId="3670"/>
    <cellStyle name="Финансовый 2 2 2 4 3 2" xfId="7032"/>
    <cellStyle name="Финансовый 2 2 2 4 4" xfId="4411"/>
    <cellStyle name="Финансовый 2 2 2 4 4 2" xfId="7691"/>
    <cellStyle name="Финансовый 2 2 2 4 5" xfId="5152"/>
    <cellStyle name="Финансовый 2 2 2 4 6" xfId="5893"/>
    <cellStyle name="Финансовый 2 2 2 5" xfId="1521"/>
    <cellStyle name="Финансовый 2 2 2 5 2" xfId="6225"/>
    <cellStyle name="Финансовый 2 2 2 6" xfId="2449"/>
    <cellStyle name="Финансовый 2 2 2 6 2" xfId="7034"/>
    <cellStyle name="Финансовый 2 2 2 7" xfId="3205"/>
    <cellStyle name="Финансовый 2 2 2 7 2" xfId="7688"/>
    <cellStyle name="Финансовый 2 2 2 8" xfId="3946"/>
    <cellStyle name="Финансовый 2 2 2 9" xfId="4687"/>
    <cellStyle name="Финансовый 2 2 20" xfId="522"/>
    <cellStyle name="Финансовый 2 2 20 2" xfId="523"/>
    <cellStyle name="Финансовый 2 2 20 2 2" xfId="1526"/>
    <cellStyle name="Финансовый 2 2 20 2 2 2" xfId="6229"/>
    <cellStyle name="Финансовый 2 2 20 2 3" xfId="2453"/>
    <cellStyle name="Финансовый 2 2 20 2 3 2" xfId="7247"/>
    <cellStyle name="Финансовый 2 2 20 2 4" xfId="3209"/>
    <cellStyle name="Финансовый 2 2 20 2 4 2" xfId="7692"/>
    <cellStyle name="Финансовый 2 2 20 2 5" xfId="3950"/>
    <cellStyle name="Финансовый 2 2 20 2 6" xfId="4691"/>
    <cellStyle name="Финансовый 2 2 20 2 7" xfId="5432"/>
    <cellStyle name="Финансовый 2 2 20 3" xfId="1525"/>
    <cellStyle name="Финансовый 2 2 20 3 2" xfId="6228"/>
    <cellStyle name="Финансовый 2 2 20 4" xfId="2452"/>
    <cellStyle name="Финансовый 2 2 20 4 2" xfId="7031"/>
    <cellStyle name="Финансовый 2 2 20 5" xfId="3208"/>
    <cellStyle name="Финансовый 2 2 20 5 2" xfId="7762"/>
    <cellStyle name="Финансовый 2 2 20 6" xfId="3949"/>
    <cellStyle name="Финансовый 2 2 20 7" xfId="4690"/>
    <cellStyle name="Финансовый 2 2 20 8" xfId="5431"/>
    <cellStyle name="Финансовый 2 2 21" xfId="524"/>
    <cellStyle name="Финансовый 2 2 21 2" xfId="525"/>
    <cellStyle name="Финансовый 2 2 21 2 2" xfId="1528"/>
    <cellStyle name="Финансовый 2 2 21 2 2 2" xfId="6231"/>
    <cellStyle name="Финансовый 2 2 21 2 3" xfId="2455"/>
    <cellStyle name="Финансовый 2 2 21 2 3 2" xfId="7029"/>
    <cellStyle name="Финансовый 2 2 21 2 4" xfId="3211"/>
    <cellStyle name="Финансовый 2 2 21 2 4 2" xfId="7434"/>
    <cellStyle name="Финансовый 2 2 21 2 5" xfId="3952"/>
    <cellStyle name="Финансовый 2 2 21 2 6" xfId="4693"/>
    <cellStyle name="Финансовый 2 2 21 2 7" xfId="5434"/>
    <cellStyle name="Финансовый 2 2 21 3" xfId="1527"/>
    <cellStyle name="Финансовый 2 2 21 3 2" xfId="6230"/>
    <cellStyle name="Финансовый 2 2 21 4" xfId="2454"/>
    <cellStyle name="Финансовый 2 2 21 4 2" xfId="7030"/>
    <cellStyle name="Финансовый 2 2 21 5" xfId="3210"/>
    <cellStyle name="Финансовый 2 2 21 5 2" xfId="7693"/>
    <cellStyle name="Финансовый 2 2 21 6" xfId="3951"/>
    <cellStyle name="Финансовый 2 2 21 7" xfId="4692"/>
    <cellStyle name="Финансовый 2 2 21 8" xfId="5433"/>
    <cellStyle name="Финансовый 2 2 22" xfId="526"/>
    <cellStyle name="Финансовый 2 2 22 2" xfId="527"/>
    <cellStyle name="Финансовый 2 2 22 2 2" xfId="1530"/>
    <cellStyle name="Финансовый 2 2 22 2 2 2" xfId="6233"/>
    <cellStyle name="Финансовый 2 2 22 2 3" xfId="2457"/>
    <cellStyle name="Финансовый 2 2 22 2 3 2" xfId="7027"/>
    <cellStyle name="Финансовый 2 2 22 2 4" xfId="3213"/>
    <cellStyle name="Финансовый 2 2 22 2 4 2" xfId="7446"/>
    <cellStyle name="Финансовый 2 2 22 2 5" xfId="3954"/>
    <cellStyle name="Финансовый 2 2 22 2 6" xfId="4695"/>
    <cellStyle name="Финансовый 2 2 22 2 7" xfId="5436"/>
    <cellStyle name="Финансовый 2 2 22 3" xfId="1529"/>
    <cellStyle name="Финансовый 2 2 22 3 2" xfId="6232"/>
    <cellStyle name="Финансовый 2 2 22 4" xfId="2456"/>
    <cellStyle name="Финансовый 2 2 22 4 2" xfId="7028"/>
    <cellStyle name="Финансовый 2 2 22 5" xfId="3212"/>
    <cellStyle name="Финансовый 2 2 22 5 2" xfId="7440"/>
    <cellStyle name="Финансовый 2 2 22 6" xfId="3953"/>
    <cellStyle name="Финансовый 2 2 22 7" xfId="4694"/>
    <cellStyle name="Финансовый 2 2 22 8" xfId="5435"/>
    <cellStyle name="Финансовый 2 2 23" xfId="528"/>
    <cellStyle name="Финансовый 2 2 23 2" xfId="529"/>
    <cellStyle name="Финансовый 2 2 23 2 2" xfId="1532"/>
    <cellStyle name="Финансовый 2 2 23 2 2 2" xfId="6235"/>
    <cellStyle name="Финансовый 2 2 23 2 3" xfId="2459"/>
    <cellStyle name="Финансовый 2 2 23 2 3 2" xfId="7026"/>
    <cellStyle name="Финансовый 2 2 23 2 4" xfId="3215"/>
    <cellStyle name="Финансовый 2 2 23 2 4 2" xfId="7695"/>
    <cellStyle name="Финансовый 2 2 23 2 5" xfId="3956"/>
    <cellStyle name="Финансовый 2 2 23 2 6" xfId="4697"/>
    <cellStyle name="Финансовый 2 2 23 2 7" xfId="5438"/>
    <cellStyle name="Финансовый 2 2 23 3" xfId="1531"/>
    <cellStyle name="Финансовый 2 2 23 3 2" xfId="6234"/>
    <cellStyle name="Финансовый 2 2 23 4" xfId="2458"/>
    <cellStyle name="Финансовый 2 2 23 4 2" xfId="7248"/>
    <cellStyle name="Финансовый 2 2 23 5" xfId="3214"/>
    <cellStyle name="Финансовый 2 2 23 5 2" xfId="7694"/>
    <cellStyle name="Финансовый 2 2 23 6" xfId="3955"/>
    <cellStyle name="Финансовый 2 2 23 7" xfId="4696"/>
    <cellStyle name="Финансовый 2 2 23 8" xfId="5437"/>
    <cellStyle name="Финансовый 2 2 24" xfId="530"/>
    <cellStyle name="Финансовый 2 2 24 2" xfId="531"/>
    <cellStyle name="Финансовый 2 2 24 2 2" xfId="1534"/>
    <cellStyle name="Финансовый 2 2 24 2 2 2" xfId="6237"/>
    <cellStyle name="Финансовый 2 2 24 2 3" xfId="2461"/>
    <cellStyle name="Финансовый 2 2 24 2 3 2" xfId="7209"/>
    <cellStyle name="Финансовый 2 2 24 2 4" xfId="3217"/>
    <cellStyle name="Финансовый 2 2 24 2 4 2" xfId="7697"/>
    <cellStyle name="Финансовый 2 2 24 2 5" xfId="3958"/>
    <cellStyle name="Финансовый 2 2 24 2 6" xfId="4699"/>
    <cellStyle name="Финансовый 2 2 24 2 7" xfId="5440"/>
    <cellStyle name="Финансовый 2 2 24 3" xfId="1533"/>
    <cellStyle name="Финансовый 2 2 24 3 2" xfId="6236"/>
    <cellStyle name="Финансовый 2 2 24 4" xfId="2460"/>
    <cellStyle name="Финансовый 2 2 24 4 2" xfId="7025"/>
    <cellStyle name="Финансовый 2 2 24 5" xfId="3216"/>
    <cellStyle name="Финансовый 2 2 24 5 2" xfId="7696"/>
    <cellStyle name="Финансовый 2 2 24 6" xfId="3957"/>
    <cellStyle name="Финансовый 2 2 24 7" xfId="4698"/>
    <cellStyle name="Финансовый 2 2 24 8" xfId="5439"/>
    <cellStyle name="Финансовый 2 2 25" xfId="532"/>
    <cellStyle name="Финансовый 2 2 25 2" xfId="533"/>
    <cellStyle name="Финансовый 2 2 25 2 2" xfId="1536"/>
    <cellStyle name="Финансовый 2 2 25 2 2 2" xfId="6239"/>
    <cellStyle name="Финансовый 2 2 25 2 3" xfId="2463"/>
    <cellStyle name="Финансовый 2 2 25 2 3 2" xfId="7023"/>
    <cellStyle name="Финансовый 2 2 25 2 4" xfId="3219"/>
    <cellStyle name="Финансовый 2 2 25 2 4 2" xfId="7699"/>
    <cellStyle name="Финансовый 2 2 25 2 5" xfId="3960"/>
    <cellStyle name="Финансовый 2 2 25 2 6" xfId="4701"/>
    <cellStyle name="Финансовый 2 2 25 2 7" xfId="5442"/>
    <cellStyle name="Финансовый 2 2 25 3" xfId="1535"/>
    <cellStyle name="Финансовый 2 2 25 3 2" xfId="6238"/>
    <cellStyle name="Финансовый 2 2 25 4" xfId="2462"/>
    <cellStyle name="Финансовый 2 2 25 4 2" xfId="7024"/>
    <cellStyle name="Финансовый 2 2 25 5" xfId="3218"/>
    <cellStyle name="Финансовый 2 2 25 5 2" xfId="7698"/>
    <cellStyle name="Финансовый 2 2 25 6" xfId="3959"/>
    <cellStyle name="Финансовый 2 2 25 7" xfId="4700"/>
    <cellStyle name="Финансовый 2 2 25 8" xfId="5441"/>
    <cellStyle name="Финансовый 2 2 26" xfId="534"/>
    <cellStyle name="Финансовый 2 2 26 2" xfId="535"/>
    <cellStyle name="Финансовый 2 2 26 2 2" xfId="1538"/>
    <cellStyle name="Финансовый 2 2 26 2 2 2" xfId="6241"/>
    <cellStyle name="Финансовый 2 2 26 2 3" xfId="2465"/>
    <cellStyle name="Финансовый 2 2 26 2 3 2" xfId="7021"/>
    <cellStyle name="Финансовый 2 2 26 2 4" xfId="3221"/>
    <cellStyle name="Финансовый 2 2 26 2 4 2" xfId="7701"/>
    <cellStyle name="Финансовый 2 2 26 2 5" xfId="3962"/>
    <cellStyle name="Финансовый 2 2 26 2 6" xfId="4703"/>
    <cellStyle name="Финансовый 2 2 26 2 7" xfId="5444"/>
    <cellStyle name="Финансовый 2 2 26 3" xfId="1537"/>
    <cellStyle name="Финансовый 2 2 26 3 2" xfId="6240"/>
    <cellStyle name="Финансовый 2 2 26 4" xfId="2464"/>
    <cellStyle name="Финансовый 2 2 26 4 2" xfId="7022"/>
    <cellStyle name="Финансовый 2 2 26 5" xfId="3220"/>
    <cellStyle name="Финансовый 2 2 26 5 2" xfId="7700"/>
    <cellStyle name="Финансовый 2 2 26 6" xfId="3961"/>
    <cellStyle name="Финансовый 2 2 26 7" xfId="4702"/>
    <cellStyle name="Финансовый 2 2 26 8" xfId="5443"/>
    <cellStyle name="Финансовый 2 2 27" xfId="536"/>
    <cellStyle name="Финансовый 2 2 27 2" xfId="537"/>
    <cellStyle name="Финансовый 2 2 27 2 2" xfId="1540"/>
    <cellStyle name="Финансовый 2 2 27 2 3" xfId="7703"/>
    <cellStyle name="Финансовый 2 2 27 3" xfId="1539"/>
    <cellStyle name="Финансовый 2 2 27 4" xfId="7702"/>
    <cellStyle name="Финансовый 2 2 28" xfId="538"/>
    <cellStyle name="Финансовый 2 2 28 2" xfId="539"/>
    <cellStyle name="Финансовый 2 2 28 2 2" xfId="1542"/>
    <cellStyle name="Финансовый 2 2 28 2 2 2" xfId="6244"/>
    <cellStyle name="Финансовый 2 2 28 2 3" xfId="2467"/>
    <cellStyle name="Финансовый 2 2 28 2 3 2" xfId="7019"/>
    <cellStyle name="Финансовый 2 2 28 2 4" xfId="3223"/>
    <cellStyle name="Финансовый 2 2 28 2 4 2" xfId="8275"/>
    <cellStyle name="Финансовый 2 2 28 2 5" xfId="3964"/>
    <cellStyle name="Финансовый 2 2 28 2 6" xfId="4705"/>
    <cellStyle name="Финансовый 2 2 28 2 7" xfId="5446"/>
    <cellStyle name="Финансовый 2 2 28 3" xfId="1541"/>
    <cellStyle name="Финансовый 2 2 28 3 2" xfId="6243"/>
    <cellStyle name="Финансовый 2 2 28 4" xfId="2466"/>
    <cellStyle name="Финансовый 2 2 28 4 2" xfId="7020"/>
    <cellStyle name="Финансовый 2 2 28 5" xfId="3222"/>
    <cellStyle name="Финансовый 2 2 28 5 2" xfId="7704"/>
    <cellStyle name="Финансовый 2 2 28 6" xfId="3963"/>
    <cellStyle name="Финансовый 2 2 28 7" xfId="4704"/>
    <cellStyle name="Финансовый 2 2 28 8" xfId="5445"/>
    <cellStyle name="Финансовый 2 2 29" xfId="540"/>
    <cellStyle name="Финансовый 2 2 29 2" xfId="541"/>
    <cellStyle name="Финансовый 2 2 29 2 2" xfId="1544"/>
    <cellStyle name="Финансовый 2 2 29 2 2 2" xfId="6246"/>
    <cellStyle name="Финансовый 2 2 29 2 3" xfId="2469"/>
    <cellStyle name="Финансовый 2 2 29 2 3 2" xfId="7018"/>
    <cellStyle name="Финансовый 2 2 29 2 4" xfId="3225"/>
    <cellStyle name="Финансовый 2 2 29 2 4 2" xfId="8298"/>
    <cellStyle name="Финансовый 2 2 29 2 5" xfId="3966"/>
    <cellStyle name="Финансовый 2 2 29 2 6" xfId="4707"/>
    <cellStyle name="Финансовый 2 2 29 2 7" xfId="5448"/>
    <cellStyle name="Финансовый 2 2 29 3" xfId="1543"/>
    <cellStyle name="Финансовый 2 2 29 3 2" xfId="6245"/>
    <cellStyle name="Финансовый 2 2 29 4" xfId="2468"/>
    <cellStyle name="Финансовый 2 2 29 4 2" xfId="7157"/>
    <cellStyle name="Финансовый 2 2 29 5" xfId="3224"/>
    <cellStyle name="Финансовый 2 2 29 5 2" xfId="8286"/>
    <cellStyle name="Финансовый 2 2 29 6" xfId="3965"/>
    <cellStyle name="Финансовый 2 2 29 7" xfId="4706"/>
    <cellStyle name="Финансовый 2 2 29 8" xfId="5447"/>
    <cellStyle name="Финансовый 2 2 3" xfId="93"/>
    <cellStyle name="Финансовый 2 2 3 2" xfId="543"/>
    <cellStyle name="Финансовый 2 2 3 2 2" xfId="1546"/>
    <cellStyle name="Финансовый 2 2 3 2 2 2" xfId="6248"/>
    <cellStyle name="Финансовый 2 2 3 2 3" xfId="2471"/>
    <cellStyle name="Финансовый 2 2 3 2 3 2" xfId="6751"/>
    <cellStyle name="Финансовый 2 2 3 2 4" xfId="3227"/>
    <cellStyle name="Финансовый 2 2 3 2 4 2" xfId="7706"/>
    <cellStyle name="Финансовый 2 2 3 2 5" xfId="3968"/>
    <cellStyle name="Финансовый 2 2 3 2 6" xfId="4709"/>
    <cellStyle name="Финансовый 2 2 3 2 7" xfId="5450"/>
    <cellStyle name="Финансовый 2 2 3 3" xfId="542"/>
    <cellStyle name="Финансовый 2 2 3 3 2" xfId="1547"/>
    <cellStyle name="Финансовый 2 2 3 3 2 2" xfId="6829"/>
    <cellStyle name="Финансовый 2 2 3 3 3" xfId="2917"/>
    <cellStyle name="Финансовый 2 2 3 3 3 2" xfId="7015"/>
    <cellStyle name="Финансовый 2 2 3 3 4" xfId="3658"/>
    <cellStyle name="Финансовый 2 2 3 3 4 2" xfId="7643"/>
    <cellStyle name="Финансовый 2 2 3 3 5" xfId="4399"/>
    <cellStyle name="Финансовый 2 2 3 3 6" xfId="5140"/>
    <cellStyle name="Финансовый 2 2 3 3 7" xfId="5881"/>
    <cellStyle name="Финансовый 2 2 3 4" xfId="1545"/>
    <cellStyle name="Финансовый 2 2 3 4 2" xfId="6247"/>
    <cellStyle name="Финансовый 2 2 3 5" xfId="2470"/>
    <cellStyle name="Финансовый 2 2 3 5 2" xfId="7017"/>
    <cellStyle name="Финансовый 2 2 3 6" xfId="3226"/>
    <cellStyle name="Финансовый 2 2 3 6 2" xfId="7705"/>
    <cellStyle name="Финансовый 2 2 3 7" xfId="3967"/>
    <cellStyle name="Финансовый 2 2 3 8" xfId="4708"/>
    <cellStyle name="Финансовый 2 2 3 9" xfId="5449"/>
    <cellStyle name="Финансовый 2 2 30" xfId="544"/>
    <cellStyle name="Финансовый 2 2 30 2" xfId="545"/>
    <cellStyle name="Финансовый 2 2 30 2 2" xfId="1549"/>
    <cellStyle name="Финансовый 2 2 30 2 2 2" xfId="6250"/>
    <cellStyle name="Финансовый 2 2 30 2 3" xfId="2473"/>
    <cellStyle name="Финансовый 2 2 30 2 3 2" xfId="7013"/>
    <cellStyle name="Финансовый 2 2 30 2 4" xfId="3229"/>
    <cellStyle name="Финансовый 2 2 30 2 4 2" xfId="7708"/>
    <cellStyle name="Финансовый 2 2 30 2 5" xfId="3970"/>
    <cellStyle name="Финансовый 2 2 30 2 6" xfId="4711"/>
    <cellStyle name="Финансовый 2 2 30 2 7" xfId="5452"/>
    <cellStyle name="Финансовый 2 2 30 3" xfId="1548"/>
    <cellStyle name="Финансовый 2 2 30 3 2" xfId="6249"/>
    <cellStyle name="Финансовый 2 2 30 4" xfId="2472"/>
    <cellStyle name="Финансовый 2 2 30 4 2" xfId="7014"/>
    <cellStyle name="Финансовый 2 2 30 5" xfId="3228"/>
    <cellStyle name="Финансовый 2 2 30 5 2" xfId="7707"/>
    <cellStyle name="Финансовый 2 2 30 6" xfId="3969"/>
    <cellStyle name="Финансовый 2 2 30 7" xfId="4710"/>
    <cellStyle name="Финансовый 2 2 30 8" xfId="5451"/>
    <cellStyle name="Финансовый 2 2 31" xfId="546"/>
    <cellStyle name="Финансовый 2 2 31 2" xfId="547"/>
    <cellStyle name="Финансовый 2 2 31 2 2" xfId="1551"/>
    <cellStyle name="Финансовый 2 2 31 2 2 2" xfId="6252"/>
    <cellStyle name="Финансовый 2 2 31 2 3" xfId="2475"/>
    <cellStyle name="Финансовый 2 2 31 2 3 2" xfId="7012"/>
    <cellStyle name="Финансовый 2 2 31 2 4" xfId="3231"/>
    <cellStyle name="Финансовый 2 2 31 2 4 2" xfId="7710"/>
    <cellStyle name="Финансовый 2 2 31 2 5" xfId="3972"/>
    <cellStyle name="Финансовый 2 2 31 2 6" xfId="4713"/>
    <cellStyle name="Финансовый 2 2 31 2 7" xfId="5454"/>
    <cellStyle name="Финансовый 2 2 31 3" xfId="1550"/>
    <cellStyle name="Финансовый 2 2 31 3 2" xfId="6251"/>
    <cellStyle name="Финансовый 2 2 31 4" xfId="2474"/>
    <cellStyle name="Финансовый 2 2 31 4 2" xfId="7353"/>
    <cellStyle name="Финансовый 2 2 31 5" xfId="3230"/>
    <cellStyle name="Финансовый 2 2 31 5 2" xfId="7709"/>
    <cellStyle name="Финансовый 2 2 31 6" xfId="3971"/>
    <cellStyle name="Финансовый 2 2 31 7" xfId="4712"/>
    <cellStyle name="Финансовый 2 2 31 8" xfId="5453"/>
    <cellStyle name="Финансовый 2 2 32" xfId="548"/>
    <cellStyle name="Финансовый 2 2 32 2" xfId="549"/>
    <cellStyle name="Финансовый 2 2 32 2 2" xfId="1553"/>
    <cellStyle name="Финансовый 2 2 32 2 2 2" xfId="6254"/>
    <cellStyle name="Финансовый 2 2 32 2 3" xfId="2477"/>
    <cellStyle name="Финансовый 2 2 32 2 3 2" xfId="7294"/>
    <cellStyle name="Финансовый 2 2 32 2 4" xfId="3233"/>
    <cellStyle name="Финансовый 2 2 32 2 4 2" xfId="7712"/>
    <cellStyle name="Финансовый 2 2 32 2 5" xfId="3974"/>
    <cellStyle name="Финансовый 2 2 32 2 6" xfId="4715"/>
    <cellStyle name="Финансовый 2 2 32 2 7" xfId="5456"/>
    <cellStyle name="Финансовый 2 2 32 3" xfId="1552"/>
    <cellStyle name="Финансовый 2 2 32 3 2" xfId="6253"/>
    <cellStyle name="Финансовый 2 2 32 4" xfId="2476"/>
    <cellStyle name="Финансовый 2 2 32 4 2" xfId="7011"/>
    <cellStyle name="Финансовый 2 2 32 5" xfId="3232"/>
    <cellStyle name="Финансовый 2 2 32 5 2" xfId="7711"/>
    <cellStyle name="Финансовый 2 2 32 6" xfId="3973"/>
    <cellStyle name="Финансовый 2 2 32 7" xfId="4714"/>
    <cellStyle name="Финансовый 2 2 32 8" xfId="5455"/>
    <cellStyle name="Финансовый 2 2 33" xfId="550"/>
    <cellStyle name="Финансовый 2 2 33 2" xfId="551"/>
    <cellStyle name="Финансовый 2 2 33 2 2" xfId="1555"/>
    <cellStyle name="Финансовый 2 2 33 2 2 2" xfId="6256"/>
    <cellStyle name="Финансовый 2 2 33 2 3" xfId="2479"/>
    <cellStyle name="Финансовый 2 2 33 2 3 2" xfId="7008"/>
    <cellStyle name="Финансовый 2 2 33 2 4" xfId="3235"/>
    <cellStyle name="Финансовый 2 2 33 2 4 2" xfId="7714"/>
    <cellStyle name="Финансовый 2 2 33 2 5" xfId="3976"/>
    <cellStyle name="Финансовый 2 2 33 2 6" xfId="4717"/>
    <cellStyle name="Финансовый 2 2 33 2 7" xfId="5458"/>
    <cellStyle name="Финансовый 2 2 33 3" xfId="1554"/>
    <cellStyle name="Финансовый 2 2 33 3 2" xfId="6255"/>
    <cellStyle name="Финансовый 2 2 33 4" xfId="2478"/>
    <cellStyle name="Финансовый 2 2 33 4 2" xfId="7009"/>
    <cellStyle name="Финансовый 2 2 33 5" xfId="3234"/>
    <cellStyle name="Финансовый 2 2 33 5 2" xfId="7713"/>
    <cellStyle name="Финансовый 2 2 33 6" xfId="3975"/>
    <cellStyle name="Финансовый 2 2 33 7" xfId="4716"/>
    <cellStyle name="Финансовый 2 2 33 8" xfId="5457"/>
    <cellStyle name="Финансовый 2 2 34" xfId="552"/>
    <cellStyle name="Финансовый 2 2 34 2" xfId="553"/>
    <cellStyle name="Финансовый 2 2 34 2 2" xfId="1557"/>
    <cellStyle name="Финансовый 2 2 34 2 2 2" xfId="6258"/>
    <cellStyle name="Финансовый 2 2 34 2 3" xfId="2481"/>
    <cellStyle name="Финансовый 2 2 34 2 3 2" xfId="7251"/>
    <cellStyle name="Финансовый 2 2 34 2 4" xfId="3237"/>
    <cellStyle name="Финансовый 2 2 34 2 4 2" xfId="7716"/>
    <cellStyle name="Финансовый 2 2 34 2 5" xfId="3978"/>
    <cellStyle name="Финансовый 2 2 34 2 6" xfId="4719"/>
    <cellStyle name="Финансовый 2 2 34 2 7" xfId="5460"/>
    <cellStyle name="Финансовый 2 2 34 3" xfId="1556"/>
    <cellStyle name="Финансовый 2 2 34 3 2" xfId="6257"/>
    <cellStyle name="Финансовый 2 2 34 4" xfId="2480"/>
    <cellStyle name="Финансовый 2 2 34 4 2" xfId="7007"/>
    <cellStyle name="Финансовый 2 2 34 5" xfId="3236"/>
    <cellStyle name="Финансовый 2 2 34 5 2" xfId="7715"/>
    <cellStyle name="Финансовый 2 2 34 6" xfId="3977"/>
    <cellStyle name="Финансовый 2 2 34 7" xfId="4718"/>
    <cellStyle name="Финансовый 2 2 34 8" xfId="5459"/>
    <cellStyle name="Финансовый 2 2 35" xfId="554"/>
    <cellStyle name="Финансовый 2 2 35 2" xfId="555"/>
    <cellStyle name="Финансовый 2 2 35 2 2" xfId="1559"/>
    <cellStyle name="Финансовый 2 2 35 2 2 2" xfId="6260"/>
    <cellStyle name="Финансовый 2 2 35 2 3" xfId="2483"/>
    <cellStyle name="Финансовый 2 2 35 2 3 2" xfId="7269"/>
    <cellStyle name="Финансовый 2 2 35 2 4" xfId="3239"/>
    <cellStyle name="Финансовый 2 2 35 2 4 2" xfId="7718"/>
    <cellStyle name="Финансовый 2 2 35 2 5" xfId="3980"/>
    <cellStyle name="Финансовый 2 2 35 2 6" xfId="4721"/>
    <cellStyle name="Финансовый 2 2 35 2 7" xfId="5462"/>
    <cellStyle name="Финансовый 2 2 35 3" xfId="1558"/>
    <cellStyle name="Финансовый 2 2 35 3 2" xfId="6259"/>
    <cellStyle name="Финансовый 2 2 35 4" xfId="2482"/>
    <cellStyle name="Финансовый 2 2 35 4 2" xfId="7006"/>
    <cellStyle name="Финансовый 2 2 35 5" xfId="3238"/>
    <cellStyle name="Финансовый 2 2 35 5 2" xfId="7717"/>
    <cellStyle name="Финансовый 2 2 35 6" xfId="3979"/>
    <cellStyle name="Финансовый 2 2 35 7" xfId="4720"/>
    <cellStyle name="Финансовый 2 2 35 8" xfId="5461"/>
    <cellStyle name="Финансовый 2 2 36" xfId="556"/>
    <cellStyle name="Финансовый 2 2 36 2" xfId="557"/>
    <cellStyle name="Финансовый 2 2 36 2 2" xfId="1561"/>
    <cellStyle name="Финансовый 2 2 36 2 3" xfId="7429"/>
    <cellStyle name="Финансовый 2 2 36 3" xfId="1560"/>
    <cellStyle name="Финансовый 2 2 36 4" xfId="7719"/>
    <cellStyle name="Финансовый 2 2 37" xfId="558"/>
    <cellStyle name="Финансовый 2 2 37 2" xfId="559"/>
    <cellStyle name="Финансовый 2 2 37 2 2" xfId="1563"/>
    <cellStyle name="Финансовый 2 2 37 2 2 2" xfId="6264"/>
    <cellStyle name="Финансовый 2 2 37 2 3" xfId="2485"/>
    <cellStyle name="Финансовый 2 2 37 2 3 2" xfId="7212"/>
    <cellStyle name="Финансовый 2 2 37 2 4" xfId="3241"/>
    <cellStyle name="Финансовый 2 2 37 2 4 2" xfId="7721"/>
    <cellStyle name="Финансовый 2 2 37 2 5" xfId="3982"/>
    <cellStyle name="Финансовый 2 2 37 2 6" xfId="4723"/>
    <cellStyle name="Финансовый 2 2 37 2 7" xfId="5464"/>
    <cellStyle name="Финансовый 2 2 37 3" xfId="1562"/>
    <cellStyle name="Финансовый 2 2 37 3 2" xfId="6263"/>
    <cellStyle name="Финансовый 2 2 37 4" xfId="2484"/>
    <cellStyle name="Финансовый 2 2 37 4 2" xfId="7295"/>
    <cellStyle name="Финансовый 2 2 37 5" xfId="3240"/>
    <cellStyle name="Финансовый 2 2 37 5 2" xfId="7720"/>
    <cellStyle name="Финансовый 2 2 37 6" xfId="3981"/>
    <cellStyle name="Финансовый 2 2 37 7" xfId="4722"/>
    <cellStyle name="Финансовый 2 2 37 8" xfId="5463"/>
    <cellStyle name="Финансовый 2 2 38" xfId="560"/>
    <cellStyle name="Финансовый 2 2 38 2" xfId="561"/>
    <cellStyle name="Финансовый 2 2 38 2 2" xfId="1565"/>
    <cellStyle name="Финансовый 2 2 38 2 2 2" xfId="6266"/>
    <cellStyle name="Финансовый 2 2 38 2 3" xfId="2487"/>
    <cellStyle name="Финансовый 2 2 38 2 3 2" xfId="7005"/>
    <cellStyle name="Финансовый 2 2 38 2 4" xfId="3243"/>
    <cellStyle name="Финансовый 2 2 38 2 4 2" xfId="7723"/>
    <cellStyle name="Финансовый 2 2 38 2 5" xfId="3984"/>
    <cellStyle name="Финансовый 2 2 38 2 6" xfId="4725"/>
    <cellStyle name="Финансовый 2 2 38 2 7" xfId="5466"/>
    <cellStyle name="Финансовый 2 2 38 3" xfId="1564"/>
    <cellStyle name="Финансовый 2 2 38 3 2" xfId="6265"/>
    <cellStyle name="Финансовый 2 2 38 4" xfId="2486"/>
    <cellStyle name="Финансовый 2 2 38 4 2" xfId="7350"/>
    <cellStyle name="Финансовый 2 2 38 5" xfId="3242"/>
    <cellStyle name="Финансовый 2 2 38 5 2" xfId="7722"/>
    <cellStyle name="Финансовый 2 2 38 6" xfId="3983"/>
    <cellStyle name="Финансовый 2 2 38 7" xfId="4724"/>
    <cellStyle name="Финансовый 2 2 38 8" xfId="5465"/>
    <cellStyle name="Финансовый 2 2 39" xfId="562"/>
    <cellStyle name="Финансовый 2 2 39 2" xfId="563"/>
    <cellStyle name="Финансовый 2 2 39 2 2" xfId="1567"/>
    <cellStyle name="Финансовый 2 2 39 2 2 2" xfId="6268"/>
    <cellStyle name="Финансовый 2 2 39 2 3" xfId="2489"/>
    <cellStyle name="Финансовый 2 2 39 2 3 2" xfId="7004"/>
    <cellStyle name="Финансовый 2 2 39 2 4" xfId="3245"/>
    <cellStyle name="Финансовый 2 2 39 2 4 2" xfId="7725"/>
    <cellStyle name="Финансовый 2 2 39 2 5" xfId="3986"/>
    <cellStyle name="Финансовый 2 2 39 2 6" xfId="4727"/>
    <cellStyle name="Финансовый 2 2 39 2 7" xfId="5468"/>
    <cellStyle name="Финансовый 2 2 39 3" xfId="1566"/>
    <cellStyle name="Финансовый 2 2 39 3 2" xfId="6267"/>
    <cellStyle name="Финансовый 2 2 39 4" xfId="2488"/>
    <cellStyle name="Финансовый 2 2 39 4 2" xfId="7181"/>
    <cellStyle name="Финансовый 2 2 39 5" xfId="3244"/>
    <cellStyle name="Финансовый 2 2 39 5 2" xfId="7724"/>
    <cellStyle name="Финансовый 2 2 39 6" xfId="3985"/>
    <cellStyle name="Финансовый 2 2 39 7" xfId="4726"/>
    <cellStyle name="Финансовый 2 2 39 8" xfId="5467"/>
    <cellStyle name="Финансовый 2 2 4" xfId="112"/>
    <cellStyle name="Финансовый 2 2 4 2" xfId="565"/>
    <cellStyle name="Финансовый 2 2 4 2 2" xfId="1569"/>
    <cellStyle name="Финансовый 2 2 4 2 3" xfId="7727"/>
    <cellStyle name="Финансовый 2 2 4 3" xfId="564"/>
    <cellStyle name="Финансовый 2 2 4 3 2" xfId="7344"/>
    <cellStyle name="Финансовый 2 2 4 4" xfId="1568"/>
    <cellStyle name="Финансовый 2 2 4 4 2" xfId="7726"/>
    <cellStyle name="Финансовый 2 2 40" xfId="566"/>
    <cellStyle name="Финансовый 2 2 40 2" xfId="567"/>
    <cellStyle name="Финансовый 2 2 40 2 2" xfId="1571"/>
    <cellStyle name="Финансовый 2 2 40 2 2 2" xfId="6272"/>
    <cellStyle name="Финансовый 2 2 40 2 3" xfId="2491"/>
    <cellStyle name="Финансовый 2 2 40 2 3 2" xfId="7190"/>
    <cellStyle name="Финансовый 2 2 40 2 4" xfId="3247"/>
    <cellStyle name="Финансовый 2 2 40 2 4 2" xfId="7729"/>
    <cellStyle name="Финансовый 2 2 40 2 5" xfId="3988"/>
    <cellStyle name="Финансовый 2 2 40 2 6" xfId="4729"/>
    <cellStyle name="Финансовый 2 2 40 2 7" xfId="5470"/>
    <cellStyle name="Финансовый 2 2 40 3" xfId="1570"/>
    <cellStyle name="Финансовый 2 2 40 3 2" xfId="6271"/>
    <cellStyle name="Финансовый 2 2 40 4" xfId="2490"/>
    <cellStyle name="Финансовый 2 2 40 4 2" xfId="6564"/>
    <cellStyle name="Финансовый 2 2 40 5" xfId="3246"/>
    <cellStyle name="Финансовый 2 2 40 5 2" xfId="7728"/>
    <cellStyle name="Финансовый 2 2 40 6" xfId="3987"/>
    <cellStyle name="Финансовый 2 2 40 7" xfId="4728"/>
    <cellStyle name="Финансовый 2 2 40 8" xfId="5469"/>
    <cellStyle name="Финансовый 2 2 41" xfId="568"/>
    <cellStyle name="Финансовый 2 2 41 2" xfId="1572"/>
    <cellStyle name="Финансовый 2 2 41 2 2" xfId="6273"/>
    <cellStyle name="Финансовый 2 2 41 3" xfId="2492"/>
    <cellStyle name="Финансовый 2 2 41 3 2" xfId="7119"/>
    <cellStyle name="Финансовый 2 2 41 4" xfId="3248"/>
    <cellStyle name="Финансовый 2 2 41 4 2" xfId="7730"/>
    <cellStyle name="Финансовый 2 2 41 5" xfId="3989"/>
    <cellStyle name="Финансовый 2 2 41 6" xfId="4730"/>
    <cellStyle name="Финансовый 2 2 41 7" xfId="5471"/>
    <cellStyle name="Финансовый 2 2 42" xfId="569"/>
    <cellStyle name="Финансовый 2 2 42 2" xfId="1573"/>
    <cellStyle name="Финансовый 2 2 42 2 2" xfId="6274"/>
    <cellStyle name="Финансовый 2 2 42 3" xfId="2493"/>
    <cellStyle name="Финансовый 2 2 42 3 2" xfId="7003"/>
    <cellStyle name="Финансовый 2 2 42 4" xfId="3249"/>
    <cellStyle name="Финансовый 2 2 42 4 2" xfId="7731"/>
    <cellStyle name="Финансовый 2 2 42 5" xfId="3990"/>
    <cellStyle name="Финансовый 2 2 42 6" xfId="4731"/>
    <cellStyle name="Финансовый 2 2 42 7" xfId="5472"/>
    <cellStyle name="Финансовый 2 2 43" xfId="500"/>
    <cellStyle name="Финансовый 2 2 43 2" xfId="1574"/>
    <cellStyle name="Финансовый 2 2 43 2 2" xfId="6275"/>
    <cellStyle name="Финансовый 2 2 43 3" xfId="2494"/>
    <cellStyle name="Финансовый 2 2 43 3 2" xfId="7235"/>
    <cellStyle name="Финансовый 2 2 43 4" xfId="3250"/>
    <cellStyle name="Финансовый 2 2 43 4 2" xfId="7732"/>
    <cellStyle name="Финансовый 2 2 43 5" xfId="3991"/>
    <cellStyle name="Финансовый 2 2 43 6" xfId="4732"/>
    <cellStyle name="Финансовый 2 2 43 7" xfId="5473"/>
    <cellStyle name="Финансовый 2 2 44" xfId="1575"/>
    <cellStyle name="Финансовый 2 2 44 2" xfId="2495"/>
    <cellStyle name="Финансовый 2 2 44 2 2" xfId="6276"/>
    <cellStyle name="Финансовый 2 2 44 3" xfId="3251"/>
    <cellStyle name="Финансовый 2 2 44 3 2" xfId="7342"/>
    <cellStyle name="Финансовый 2 2 44 4" xfId="3992"/>
    <cellStyle name="Финансовый 2 2 44 4 2" xfId="7733"/>
    <cellStyle name="Финансовый 2 2 44 5" xfId="4733"/>
    <cellStyle name="Финансовый 2 2 44 6" xfId="5474"/>
    <cellStyle name="Финансовый 2 2 45" xfId="1576"/>
    <cellStyle name="Финансовый 2 2 45 2" xfId="2496"/>
    <cellStyle name="Финансовый 2 2 45 2 2" xfId="6277"/>
    <cellStyle name="Финансовый 2 2 45 3" xfId="3252"/>
    <cellStyle name="Финансовый 2 2 45 3 2" xfId="6754"/>
    <cellStyle name="Финансовый 2 2 45 4" xfId="3993"/>
    <cellStyle name="Финансовый 2 2 45 4 2" xfId="7734"/>
    <cellStyle name="Финансовый 2 2 45 5" xfId="4734"/>
    <cellStyle name="Финансовый 2 2 45 6" xfId="5475"/>
    <cellStyle name="Финансовый 2 2 46" xfId="1577"/>
    <cellStyle name="Финансовый 2 2 46 2" xfId="2497"/>
    <cellStyle name="Финансовый 2 2 46 2 2" xfId="6278"/>
    <cellStyle name="Финансовый 2 2 46 3" xfId="3253"/>
    <cellStyle name="Финансовый 2 2 46 3 2" xfId="6563"/>
    <cellStyle name="Финансовый 2 2 46 4" xfId="3994"/>
    <cellStyle name="Финансовый 2 2 46 4 2" xfId="7735"/>
    <cellStyle name="Финансовый 2 2 46 5" xfId="4735"/>
    <cellStyle name="Финансовый 2 2 46 6" xfId="5476"/>
    <cellStyle name="Финансовый 2 2 47" xfId="1578"/>
    <cellStyle name="Финансовый 2 2 47 2" xfId="2880"/>
    <cellStyle name="Финансовый 2 2 47 2 2" xfId="6792"/>
    <cellStyle name="Финансовый 2 2 47 3" xfId="3622"/>
    <cellStyle name="Финансовый 2 2 47 3 2" xfId="7103"/>
    <cellStyle name="Финансовый 2 2 47 4" xfId="4363"/>
    <cellStyle name="Финансовый 2 2 47 4 2" xfId="7736"/>
    <cellStyle name="Финансовый 2 2 47 5" xfId="5104"/>
    <cellStyle name="Финансовый 2 2 47 6" xfId="5845"/>
    <cellStyle name="Финансовый 2 2 48" xfId="1579"/>
    <cellStyle name="Финансовый 2 2 48 2" xfId="2893"/>
    <cellStyle name="Финансовый 2 2 48 2 2" xfId="6805"/>
    <cellStyle name="Финансовый 2 2 48 3" xfId="3634"/>
    <cellStyle name="Финансовый 2 2 48 3 2" xfId="7201"/>
    <cellStyle name="Финансовый 2 2 48 4" xfId="4375"/>
    <cellStyle name="Финансовый 2 2 48 4 2" xfId="7737"/>
    <cellStyle name="Финансовый 2 2 48 5" xfId="5116"/>
    <cellStyle name="Финансовый 2 2 48 6" xfId="5857"/>
    <cellStyle name="Финансовый 2 2 49" xfId="1580"/>
    <cellStyle name="Финансовый 2 2 49 2" xfId="2905"/>
    <cellStyle name="Финансовый 2 2 49 2 2" xfId="6817"/>
    <cellStyle name="Финансовый 2 2 49 3" xfId="3646"/>
    <cellStyle name="Финансовый 2 2 49 3 2" xfId="7088"/>
    <cellStyle name="Финансовый 2 2 49 4" xfId="4387"/>
    <cellStyle name="Финансовый 2 2 49 4 2" xfId="8315"/>
    <cellStyle name="Финансовый 2 2 49 5" xfId="5128"/>
    <cellStyle name="Финансовый 2 2 49 6" xfId="5869"/>
    <cellStyle name="Финансовый 2 2 5" xfId="124"/>
    <cellStyle name="Финансовый 2 2 5 2" xfId="571"/>
    <cellStyle name="Финансовый 2 2 5 2 2" xfId="1582"/>
    <cellStyle name="Финансовый 2 2 5 2 2 2" xfId="6280"/>
    <cellStyle name="Финансовый 2 2 5 2 3" xfId="2499"/>
    <cellStyle name="Финансовый 2 2 5 2 3 2" xfId="7002"/>
    <cellStyle name="Финансовый 2 2 5 2 4" xfId="3255"/>
    <cellStyle name="Финансовый 2 2 5 2 4 2" xfId="7739"/>
    <cellStyle name="Финансовый 2 2 5 2 5" xfId="3996"/>
    <cellStyle name="Финансовый 2 2 5 2 6" xfId="4737"/>
    <cellStyle name="Финансовый 2 2 5 2 7" xfId="5478"/>
    <cellStyle name="Финансовый 2 2 5 3" xfId="570"/>
    <cellStyle name="Финансовый 2 2 5 3 2" xfId="6279"/>
    <cellStyle name="Финансовый 2 2 5 4" xfId="1581"/>
    <cellStyle name="Финансовый 2 2 5 5" xfId="2498"/>
    <cellStyle name="Финансовый 2 2 5 5 2" xfId="7738"/>
    <cellStyle name="Финансовый 2 2 5 6" xfId="3254"/>
    <cellStyle name="Финансовый 2 2 5 7" xfId="3995"/>
    <cellStyle name="Финансовый 2 2 5 8" xfId="4736"/>
    <cellStyle name="Финансовый 2 2 5 9" xfId="5477"/>
    <cellStyle name="Финансовый 2 2 50" xfId="1583"/>
    <cellStyle name="Финансовый 2 2 50 2" xfId="2432"/>
    <cellStyle name="Финансовый 2 2 50 2 2" xfId="6207"/>
    <cellStyle name="Финансовый 2 2 50 3" xfId="3188"/>
    <cellStyle name="Финансовый 2 2 50 3 2" xfId="7001"/>
    <cellStyle name="Финансовый 2 2 50 4" xfId="3929"/>
    <cellStyle name="Финансовый 2 2 50 4 2" xfId="7740"/>
    <cellStyle name="Финансовый 2 2 50 5" xfId="4670"/>
    <cellStyle name="Финансовый 2 2 50 6" xfId="5411"/>
    <cellStyle name="Финансовый 2 2 51" xfId="1501"/>
    <cellStyle name="Финансовый 2 2 51 2" xfId="5928"/>
    <cellStyle name="Финансовый 2 2 52" xfId="2205"/>
    <cellStyle name="Финансовый 2 2 52 2" xfId="7188"/>
    <cellStyle name="Финансовый 2 2 53" xfId="2954"/>
    <cellStyle name="Финансовый 2 2 53 2" xfId="7670"/>
    <cellStyle name="Финансовый 2 2 54" xfId="3695"/>
    <cellStyle name="Финансовый 2 2 55" xfId="4436"/>
    <cellStyle name="Финансовый 2 2 56" xfId="5182"/>
    <cellStyle name="Финансовый 2 2 6" xfId="139"/>
    <cellStyle name="Финансовый 2 2 6 2" xfId="573"/>
    <cellStyle name="Финансовый 2 2 6 2 2" xfId="1585"/>
    <cellStyle name="Финансовый 2 2 6 2 3" xfId="7741"/>
    <cellStyle name="Финансовый 2 2 6 3" xfId="572"/>
    <cellStyle name="Финансовый 2 2 6 3 2" xfId="7000"/>
    <cellStyle name="Финансовый 2 2 6 4" xfId="1584"/>
    <cellStyle name="Финансовый 2 2 6 4 2" xfId="7424"/>
    <cellStyle name="Финансовый 2 2 7" xfId="154"/>
    <cellStyle name="Финансовый 2 2 7 2" xfId="575"/>
    <cellStyle name="Финансовый 2 2 7 2 2" xfId="1587"/>
    <cellStyle name="Финансовый 2 2 7 2 2 2" xfId="6284"/>
    <cellStyle name="Финансовый 2 2 7 2 3" xfId="2501"/>
    <cellStyle name="Финансовый 2 2 7 2 3 2" xfId="6999"/>
    <cellStyle name="Финансовый 2 2 7 2 4" xfId="3257"/>
    <cellStyle name="Финансовый 2 2 7 2 4 2" xfId="7743"/>
    <cellStyle name="Финансовый 2 2 7 2 5" xfId="3998"/>
    <cellStyle name="Финансовый 2 2 7 2 6" xfId="4739"/>
    <cellStyle name="Финансовый 2 2 7 2 7" xfId="5480"/>
    <cellStyle name="Финансовый 2 2 7 3" xfId="574"/>
    <cellStyle name="Финансовый 2 2 7 3 2" xfId="6283"/>
    <cellStyle name="Финансовый 2 2 7 4" xfId="1586"/>
    <cellStyle name="Финансовый 2 2 7 5" xfId="2500"/>
    <cellStyle name="Финансовый 2 2 7 5 2" xfId="7742"/>
    <cellStyle name="Финансовый 2 2 7 6" xfId="3256"/>
    <cellStyle name="Финансовый 2 2 7 7" xfId="3997"/>
    <cellStyle name="Финансовый 2 2 7 8" xfId="4738"/>
    <cellStyle name="Финансовый 2 2 7 9" xfId="5479"/>
    <cellStyle name="Финансовый 2 2 8" xfId="169"/>
    <cellStyle name="Финансовый 2 2 8 2" xfId="577"/>
    <cellStyle name="Финансовый 2 2 8 2 2" xfId="1589"/>
    <cellStyle name="Финансовый 2 2 8 2 2 2" xfId="6286"/>
    <cellStyle name="Финансовый 2 2 8 2 3" xfId="2503"/>
    <cellStyle name="Финансовый 2 2 8 2 3 2" xfId="7219"/>
    <cellStyle name="Финансовый 2 2 8 2 4" xfId="3259"/>
    <cellStyle name="Финансовый 2 2 8 2 4 2" xfId="7745"/>
    <cellStyle name="Финансовый 2 2 8 2 5" xfId="4000"/>
    <cellStyle name="Финансовый 2 2 8 2 6" xfId="4741"/>
    <cellStyle name="Финансовый 2 2 8 2 7" xfId="5482"/>
    <cellStyle name="Финансовый 2 2 8 3" xfId="576"/>
    <cellStyle name="Финансовый 2 2 8 3 2" xfId="6285"/>
    <cellStyle name="Финансовый 2 2 8 4" xfId="1588"/>
    <cellStyle name="Финансовый 2 2 8 5" xfId="2502"/>
    <cellStyle name="Финансовый 2 2 8 5 2" xfId="7744"/>
    <cellStyle name="Финансовый 2 2 8 6" xfId="3258"/>
    <cellStyle name="Финансовый 2 2 8 7" xfId="3999"/>
    <cellStyle name="Финансовый 2 2 8 8" xfId="4740"/>
    <cellStyle name="Финансовый 2 2 8 9" xfId="5481"/>
    <cellStyle name="Финансовый 2 2 9" xfId="179"/>
    <cellStyle name="Финансовый 2 2 9 2" xfId="579"/>
    <cellStyle name="Финансовый 2 2 9 2 2" xfId="1591"/>
    <cellStyle name="Финансовый 2 2 9 2 3" xfId="7747"/>
    <cellStyle name="Финансовый 2 2 9 3" xfId="578"/>
    <cellStyle name="Финансовый 2 2 9 3 2" xfId="7271"/>
    <cellStyle name="Финансовый 2 2 9 4" xfId="1590"/>
    <cellStyle name="Финансовый 2 2 9 4 2" xfId="7746"/>
    <cellStyle name="Финансовый 2 20" xfId="580"/>
    <cellStyle name="Финансовый 2 20 2" xfId="581"/>
    <cellStyle name="Финансовый 2 20 2 2" xfId="1593"/>
    <cellStyle name="Финансовый 2 20 2 2 2" xfId="6290"/>
    <cellStyle name="Финансовый 2 20 2 3" xfId="2505"/>
    <cellStyle name="Финансовый 2 20 2 3 2" xfId="6997"/>
    <cellStyle name="Финансовый 2 20 2 4" xfId="3261"/>
    <cellStyle name="Финансовый 2 20 2 4 2" xfId="7749"/>
    <cellStyle name="Финансовый 2 20 2 5" xfId="4002"/>
    <cellStyle name="Финансовый 2 20 2 6" xfId="4743"/>
    <cellStyle name="Финансовый 2 20 2 7" xfId="5484"/>
    <cellStyle name="Финансовый 2 20 3" xfId="1592"/>
    <cellStyle name="Финансовый 2 20 3 2" xfId="6289"/>
    <cellStyle name="Финансовый 2 20 4" xfId="2504"/>
    <cellStyle name="Финансовый 2 20 4 2" xfId="6998"/>
    <cellStyle name="Финансовый 2 20 5" xfId="3260"/>
    <cellStyle name="Финансовый 2 20 5 2" xfId="7748"/>
    <cellStyle name="Финансовый 2 20 6" xfId="4001"/>
    <cellStyle name="Финансовый 2 20 7" xfId="4742"/>
    <cellStyle name="Финансовый 2 20 8" xfId="5483"/>
    <cellStyle name="Финансовый 2 21" xfId="582"/>
    <cellStyle name="Финансовый 2 21 2" xfId="583"/>
    <cellStyle name="Финансовый 2 21 2 2" xfId="1595"/>
    <cellStyle name="Финансовый 2 21 2 2 2" xfId="6292"/>
    <cellStyle name="Финансовый 2 21 2 3" xfId="2507"/>
    <cellStyle name="Финансовый 2 21 2 3 2" xfId="6995"/>
    <cellStyle name="Финансовый 2 21 2 4" xfId="3263"/>
    <cellStyle name="Финансовый 2 21 2 4 2" xfId="7751"/>
    <cellStyle name="Финансовый 2 21 2 5" xfId="4004"/>
    <cellStyle name="Финансовый 2 21 2 6" xfId="4745"/>
    <cellStyle name="Финансовый 2 21 2 7" xfId="5486"/>
    <cellStyle name="Финансовый 2 21 3" xfId="1594"/>
    <cellStyle name="Финансовый 2 21 3 2" xfId="6291"/>
    <cellStyle name="Финансовый 2 21 4" xfId="2506"/>
    <cellStyle name="Финансовый 2 21 4 2" xfId="6996"/>
    <cellStyle name="Финансовый 2 21 5" xfId="3262"/>
    <cellStyle name="Финансовый 2 21 5 2" xfId="7750"/>
    <cellStyle name="Финансовый 2 21 6" xfId="4003"/>
    <cellStyle name="Финансовый 2 21 7" xfId="4744"/>
    <cellStyle name="Финансовый 2 21 8" xfId="5485"/>
    <cellStyle name="Финансовый 2 22" xfId="584"/>
    <cellStyle name="Финансовый 2 22 2" xfId="585"/>
    <cellStyle name="Финансовый 2 22 2 2" xfId="1597"/>
    <cellStyle name="Финансовый 2 22 2 2 2" xfId="6294"/>
    <cellStyle name="Финансовый 2 22 2 3" xfId="2509"/>
    <cellStyle name="Финансовый 2 22 2 3 2" xfId="6993"/>
    <cellStyle name="Финансовый 2 22 2 4" xfId="3265"/>
    <cellStyle name="Финансовый 2 22 2 4 2" xfId="7753"/>
    <cellStyle name="Финансовый 2 22 2 5" xfId="4006"/>
    <cellStyle name="Финансовый 2 22 2 6" xfId="4747"/>
    <cellStyle name="Финансовый 2 22 2 7" xfId="5488"/>
    <cellStyle name="Финансовый 2 22 3" xfId="1596"/>
    <cellStyle name="Финансовый 2 22 3 2" xfId="6293"/>
    <cellStyle name="Финансовый 2 22 4" xfId="2508"/>
    <cellStyle name="Финансовый 2 22 4 2" xfId="6994"/>
    <cellStyle name="Финансовый 2 22 5" xfId="3264"/>
    <cellStyle name="Финансовый 2 22 5 2" xfId="7752"/>
    <cellStyle name="Финансовый 2 22 6" xfId="4005"/>
    <cellStyle name="Финансовый 2 22 7" xfId="4746"/>
    <cellStyle name="Финансовый 2 22 8" xfId="5487"/>
    <cellStyle name="Финансовый 2 23" xfId="586"/>
    <cellStyle name="Финансовый 2 23 2" xfId="587"/>
    <cellStyle name="Финансовый 2 23 2 2" xfId="1599"/>
    <cellStyle name="Финансовый 2 23 2 2 2" xfId="6296"/>
    <cellStyle name="Финансовый 2 23 2 3" xfId="2511"/>
    <cellStyle name="Финансовый 2 23 2 3 2" xfId="6991"/>
    <cellStyle name="Финансовый 2 23 2 4" xfId="3267"/>
    <cellStyle name="Финансовый 2 23 2 4 2" xfId="7755"/>
    <cellStyle name="Финансовый 2 23 2 5" xfId="4008"/>
    <cellStyle name="Финансовый 2 23 2 6" xfId="4749"/>
    <cellStyle name="Финансовый 2 23 2 7" xfId="5490"/>
    <cellStyle name="Финансовый 2 23 3" xfId="1598"/>
    <cellStyle name="Финансовый 2 23 3 2" xfId="6295"/>
    <cellStyle name="Финансовый 2 23 4" xfId="2510"/>
    <cellStyle name="Финансовый 2 23 4 2" xfId="6992"/>
    <cellStyle name="Финансовый 2 23 5" xfId="3266"/>
    <cellStyle name="Финансовый 2 23 5 2" xfId="7754"/>
    <cellStyle name="Финансовый 2 23 6" xfId="4007"/>
    <cellStyle name="Финансовый 2 23 7" xfId="4748"/>
    <cellStyle name="Финансовый 2 23 8" xfId="5489"/>
    <cellStyle name="Финансовый 2 24" xfId="588"/>
    <cellStyle name="Финансовый 2 24 2" xfId="589"/>
    <cellStyle name="Финансовый 2 24 2 2" xfId="1601"/>
    <cellStyle name="Финансовый 2 24 2 2 2" xfId="6298"/>
    <cellStyle name="Финансовый 2 24 2 3" xfId="2513"/>
    <cellStyle name="Финансовый 2 24 2 3 2" xfId="6989"/>
    <cellStyle name="Финансовый 2 24 2 4" xfId="3269"/>
    <cellStyle name="Финансовый 2 24 2 4 2" xfId="7757"/>
    <cellStyle name="Финансовый 2 24 2 5" xfId="4010"/>
    <cellStyle name="Финансовый 2 24 2 6" xfId="4751"/>
    <cellStyle name="Финансовый 2 24 2 7" xfId="5492"/>
    <cellStyle name="Финансовый 2 24 3" xfId="1600"/>
    <cellStyle name="Финансовый 2 24 3 2" xfId="6297"/>
    <cellStyle name="Финансовый 2 24 4" xfId="2512"/>
    <cellStyle name="Финансовый 2 24 4 2" xfId="6990"/>
    <cellStyle name="Финансовый 2 24 5" xfId="3268"/>
    <cellStyle name="Финансовый 2 24 5 2" xfId="7756"/>
    <cellStyle name="Финансовый 2 24 6" xfId="4009"/>
    <cellStyle name="Финансовый 2 24 7" xfId="4750"/>
    <cellStyle name="Финансовый 2 24 8" xfId="5491"/>
    <cellStyle name="Финансовый 2 25" xfId="590"/>
    <cellStyle name="Финансовый 2 25 2" xfId="591"/>
    <cellStyle name="Финансовый 2 25 2 2" xfId="1603"/>
    <cellStyle name="Финансовый 2 25 2 2 2" xfId="6300"/>
    <cellStyle name="Финансовый 2 25 2 3" xfId="2515"/>
    <cellStyle name="Финансовый 2 25 2 3 2" xfId="6987"/>
    <cellStyle name="Финансовый 2 25 2 4" xfId="3271"/>
    <cellStyle name="Финансовый 2 25 2 4 2" xfId="7759"/>
    <cellStyle name="Финансовый 2 25 2 5" xfId="4012"/>
    <cellStyle name="Финансовый 2 25 2 6" xfId="4753"/>
    <cellStyle name="Финансовый 2 25 2 7" xfId="5494"/>
    <cellStyle name="Финансовый 2 25 3" xfId="1602"/>
    <cellStyle name="Финансовый 2 25 3 2" xfId="6299"/>
    <cellStyle name="Финансовый 2 25 4" xfId="2514"/>
    <cellStyle name="Финансовый 2 25 4 2" xfId="6988"/>
    <cellStyle name="Финансовый 2 25 5" xfId="3270"/>
    <cellStyle name="Финансовый 2 25 5 2" xfId="7758"/>
    <cellStyle name="Финансовый 2 25 6" xfId="4011"/>
    <cellStyle name="Финансовый 2 25 7" xfId="4752"/>
    <cellStyle name="Финансовый 2 25 8" xfId="5493"/>
    <cellStyle name="Финансовый 2 26" xfId="592"/>
    <cellStyle name="Финансовый 2 26 2" xfId="593"/>
    <cellStyle name="Финансовый 2 26 2 2" xfId="1605"/>
    <cellStyle name="Финансовый 2 26 2 2 2" xfId="6302"/>
    <cellStyle name="Финансовый 2 26 2 3" xfId="2517"/>
    <cellStyle name="Финансовый 2 26 2 3 2" xfId="6985"/>
    <cellStyle name="Финансовый 2 26 2 4" xfId="3273"/>
    <cellStyle name="Финансовый 2 26 2 4 2" xfId="7760"/>
    <cellStyle name="Финансовый 2 26 2 5" xfId="4014"/>
    <cellStyle name="Финансовый 2 26 2 6" xfId="4755"/>
    <cellStyle name="Финансовый 2 26 2 7" xfId="5496"/>
    <cellStyle name="Финансовый 2 26 3" xfId="1604"/>
    <cellStyle name="Финансовый 2 26 3 2" xfId="6301"/>
    <cellStyle name="Финансовый 2 26 4" xfId="2516"/>
    <cellStyle name="Финансовый 2 26 4 2" xfId="6986"/>
    <cellStyle name="Финансовый 2 26 5" xfId="3272"/>
    <cellStyle name="Финансовый 2 26 5 2" xfId="8305"/>
    <cellStyle name="Финансовый 2 26 6" xfId="4013"/>
    <cellStyle name="Финансовый 2 26 7" xfId="4754"/>
    <cellStyle name="Финансовый 2 26 8" xfId="5495"/>
    <cellStyle name="Финансовый 2 27" xfId="594"/>
    <cellStyle name="Финансовый 2 27 2" xfId="595"/>
    <cellStyle name="Финансовый 2 27 2 2" xfId="1607"/>
    <cellStyle name="Финансовый 2 27 2 2 2" xfId="6304"/>
    <cellStyle name="Финансовый 2 27 2 3" xfId="2519"/>
    <cellStyle name="Финансовый 2 27 2 3 2" xfId="6983"/>
    <cellStyle name="Финансовый 2 27 2 4" xfId="3275"/>
    <cellStyle name="Финансовый 2 27 2 4 2" xfId="8227"/>
    <cellStyle name="Финансовый 2 27 2 5" xfId="4016"/>
    <cellStyle name="Финансовый 2 27 2 6" xfId="4757"/>
    <cellStyle name="Финансовый 2 27 2 7" xfId="5498"/>
    <cellStyle name="Финансовый 2 27 3" xfId="1606"/>
    <cellStyle name="Финансовый 2 27 3 2" xfId="6303"/>
    <cellStyle name="Финансовый 2 27 4" xfId="2518"/>
    <cellStyle name="Финансовый 2 27 4 2" xfId="6984"/>
    <cellStyle name="Финансовый 2 27 5" xfId="3274"/>
    <cellStyle name="Финансовый 2 27 5 2" xfId="7761"/>
    <cellStyle name="Финансовый 2 27 6" xfId="4015"/>
    <cellStyle name="Финансовый 2 27 7" xfId="4756"/>
    <cellStyle name="Финансовый 2 27 8" xfId="5497"/>
    <cellStyle name="Финансовый 2 28" xfId="596"/>
    <cellStyle name="Финансовый 2 28 2" xfId="597"/>
    <cellStyle name="Финансовый 2 28 2 2" xfId="1609"/>
    <cellStyle name="Финансовый 2 28 2 3" xfId="7764"/>
    <cellStyle name="Финансовый 2 28 3" xfId="1608"/>
    <cellStyle name="Финансовый 2 28 4" xfId="7763"/>
    <cellStyle name="Финансовый 2 29" xfId="598"/>
    <cellStyle name="Финансовый 2 29 2" xfId="599"/>
    <cellStyle name="Финансовый 2 29 2 2" xfId="1611"/>
    <cellStyle name="Финансовый 2 29 2 2 2" xfId="6308"/>
    <cellStyle name="Финансовый 2 29 2 3" xfId="2521"/>
    <cellStyle name="Финансовый 2 29 2 3 2" xfId="6981"/>
    <cellStyle name="Финансовый 2 29 2 4" xfId="3277"/>
    <cellStyle name="Финансовый 2 29 2 4 2" xfId="7766"/>
    <cellStyle name="Финансовый 2 29 2 5" xfId="4018"/>
    <cellStyle name="Финансовый 2 29 2 6" xfId="4759"/>
    <cellStyle name="Финансовый 2 29 2 7" xfId="5500"/>
    <cellStyle name="Финансовый 2 29 3" xfId="1610"/>
    <cellStyle name="Финансовый 2 29 3 2" xfId="6307"/>
    <cellStyle name="Финансовый 2 29 4" xfId="2520"/>
    <cellStyle name="Финансовый 2 29 4 2" xfId="6982"/>
    <cellStyle name="Финансовый 2 29 5" xfId="3276"/>
    <cellStyle name="Финансовый 2 29 5 2" xfId="7765"/>
    <cellStyle name="Финансовый 2 29 6" xfId="4017"/>
    <cellStyle name="Финансовый 2 29 7" xfId="4758"/>
    <cellStyle name="Финансовый 2 29 8" xfId="5499"/>
    <cellStyle name="Финансовый 2 3" xfId="70"/>
    <cellStyle name="Финансовый 2 3 10" xfId="5501"/>
    <cellStyle name="Финансовый 2 3 2" xfId="601"/>
    <cellStyle name="Финансовый 2 3 2 2" xfId="1613"/>
    <cellStyle name="Финансовый 2 3 2 2 2" xfId="6310"/>
    <cellStyle name="Финансовый 2 3 2 3" xfId="2523"/>
    <cellStyle name="Финансовый 2 3 2 3 2" xfId="6979"/>
    <cellStyle name="Финансовый 2 3 2 4" xfId="3279"/>
    <cellStyle name="Финансовый 2 3 2 4 2" xfId="7768"/>
    <cellStyle name="Финансовый 2 3 2 5" xfId="4020"/>
    <cellStyle name="Финансовый 2 3 2 6" xfId="4761"/>
    <cellStyle name="Финансовый 2 3 2 7" xfId="5502"/>
    <cellStyle name="Финансовый 2 3 3" xfId="600"/>
    <cellStyle name="Финансовый 2 3 3 2" xfId="1614"/>
    <cellStyle name="Финансовый 2 3 3 2 2" xfId="6311"/>
    <cellStyle name="Финансовый 2 3 3 3" xfId="2524"/>
    <cellStyle name="Финансовый 2 3 3 3 2" xfId="6978"/>
    <cellStyle name="Финансовый 2 3 3 4" xfId="3280"/>
    <cellStyle name="Финансовый 2 3 3 4 2" xfId="7769"/>
    <cellStyle name="Финансовый 2 3 3 5" xfId="4021"/>
    <cellStyle name="Финансовый 2 3 3 6" xfId="4762"/>
    <cellStyle name="Финансовый 2 3 3 7" xfId="5503"/>
    <cellStyle name="Финансовый 2 3 4" xfId="1615"/>
    <cellStyle name="Финансовый 2 3 4 2" xfId="2927"/>
    <cellStyle name="Финансовый 2 3 4 2 2" xfId="6839"/>
    <cellStyle name="Финансовый 2 3 4 3" xfId="3668"/>
    <cellStyle name="Финансовый 2 3 4 3 2" xfId="6977"/>
    <cellStyle name="Финансовый 2 3 4 4" xfId="4409"/>
    <cellStyle name="Финансовый 2 3 4 4 2" xfId="8272"/>
    <cellStyle name="Финансовый 2 3 4 5" xfId="5150"/>
    <cellStyle name="Финансовый 2 3 4 6" xfId="5891"/>
    <cellStyle name="Финансовый 2 3 5" xfId="1612"/>
    <cellStyle name="Финансовый 2 3 5 2" xfId="6309"/>
    <cellStyle name="Финансовый 2 3 6" xfId="2522"/>
    <cellStyle name="Финансовый 2 3 6 2" xfId="6980"/>
    <cellStyle name="Финансовый 2 3 7" xfId="3278"/>
    <cellStyle name="Финансовый 2 3 7 2" xfId="7767"/>
    <cellStyle name="Финансовый 2 3 8" xfId="4019"/>
    <cellStyle name="Финансовый 2 3 9" xfId="4760"/>
    <cellStyle name="Финансовый 2 30" xfId="602"/>
    <cellStyle name="Финансовый 2 30 2" xfId="603"/>
    <cellStyle name="Финансовый 2 30 2 2" xfId="1617"/>
    <cellStyle name="Финансовый 2 30 2 2 2" xfId="6313"/>
    <cellStyle name="Финансовый 2 30 2 3" xfId="2526"/>
    <cellStyle name="Финансовый 2 30 2 3 2" xfId="6975"/>
    <cellStyle name="Финансовый 2 30 2 4" xfId="3282"/>
    <cellStyle name="Финансовый 2 30 2 4 2" xfId="7770"/>
    <cellStyle name="Финансовый 2 30 2 5" xfId="4023"/>
    <cellStyle name="Финансовый 2 30 2 6" xfId="4764"/>
    <cellStyle name="Финансовый 2 30 2 7" xfId="5505"/>
    <cellStyle name="Финансовый 2 30 3" xfId="1616"/>
    <cellStyle name="Финансовый 2 30 3 2" xfId="6312"/>
    <cellStyle name="Финансовый 2 30 4" xfId="2525"/>
    <cellStyle name="Финансовый 2 30 4 2" xfId="6976"/>
    <cellStyle name="Финансовый 2 30 5" xfId="3281"/>
    <cellStyle name="Финансовый 2 30 5 2" xfId="8284"/>
    <cellStyle name="Финансовый 2 30 6" xfId="4022"/>
    <cellStyle name="Финансовый 2 30 7" xfId="4763"/>
    <cellStyle name="Финансовый 2 30 8" xfId="5504"/>
    <cellStyle name="Финансовый 2 31" xfId="604"/>
    <cellStyle name="Финансовый 2 31 2" xfId="605"/>
    <cellStyle name="Финансовый 2 31 2 2" xfId="1619"/>
    <cellStyle name="Финансовый 2 31 2 2 2" xfId="6315"/>
    <cellStyle name="Финансовый 2 31 2 3" xfId="2528"/>
    <cellStyle name="Финансовый 2 31 2 3 2" xfId="6973"/>
    <cellStyle name="Финансовый 2 31 2 4" xfId="3284"/>
    <cellStyle name="Финансовый 2 31 2 4 2" xfId="7771"/>
    <cellStyle name="Финансовый 2 31 2 5" xfId="4025"/>
    <cellStyle name="Финансовый 2 31 2 6" xfId="4766"/>
    <cellStyle name="Финансовый 2 31 2 7" xfId="5507"/>
    <cellStyle name="Финансовый 2 31 3" xfId="1618"/>
    <cellStyle name="Финансовый 2 31 3 2" xfId="6314"/>
    <cellStyle name="Финансовый 2 31 4" xfId="2527"/>
    <cellStyle name="Финансовый 2 31 4 2" xfId="6974"/>
    <cellStyle name="Финансовый 2 31 5" xfId="3283"/>
    <cellStyle name="Финансовый 2 31 5 2" xfId="7448"/>
    <cellStyle name="Финансовый 2 31 6" xfId="4024"/>
    <cellStyle name="Финансовый 2 31 7" xfId="4765"/>
    <cellStyle name="Финансовый 2 31 8" xfId="5506"/>
    <cellStyle name="Финансовый 2 32" xfId="606"/>
    <cellStyle name="Финансовый 2 32 2" xfId="607"/>
    <cellStyle name="Финансовый 2 32 2 2" xfId="1621"/>
    <cellStyle name="Финансовый 2 32 2 2 2" xfId="6317"/>
    <cellStyle name="Финансовый 2 32 2 3" xfId="2530"/>
    <cellStyle name="Финансовый 2 32 2 3 2" xfId="6971"/>
    <cellStyle name="Финансовый 2 32 2 4" xfId="3286"/>
    <cellStyle name="Финансовый 2 32 2 4 2" xfId="7623"/>
    <cellStyle name="Финансовый 2 32 2 5" xfId="4027"/>
    <cellStyle name="Финансовый 2 32 2 6" xfId="4768"/>
    <cellStyle name="Финансовый 2 32 2 7" xfId="5509"/>
    <cellStyle name="Финансовый 2 32 3" xfId="1620"/>
    <cellStyle name="Финансовый 2 32 3 2" xfId="6316"/>
    <cellStyle name="Финансовый 2 32 4" xfId="2529"/>
    <cellStyle name="Финансовый 2 32 4 2" xfId="6972"/>
    <cellStyle name="Финансовый 2 32 5" xfId="3285"/>
    <cellStyle name="Финансовый 2 32 5 2" xfId="8296"/>
    <cellStyle name="Финансовый 2 32 6" xfId="4026"/>
    <cellStyle name="Финансовый 2 32 7" xfId="4767"/>
    <cellStyle name="Финансовый 2 32 8" xfId="5508"/>
    <cellStyle name="Финансовый 2 33" xfId="608"/>
    <cellStyle name="Финансовый 2 33 2" xfId="609"/>
    <cellStyle name="Финансовый 2 33 2 2" xfId="1623"/>
    <cellStyle name="Финансовый 2 33 2 2 2" xfId="6319"/>
    <cellStyle name="Финансовый 2 33 2 3" xfId="2532"/>
    <cellStyle name="Финансовый 2 33 2 3 2" xfId="6969"/>
    <cellStyle name="Финансовый 2 33 2 4" xfId="3288"/>
    <cellStyle name="Финансовый 2 33 2 4 2" xfId="7773"/>
    <cellStyle name="Финансовый 2 33 2 5" xfId="4029"/>
    <cellStyle name="Финансовый 2 33 2 6" xfId="4770"/>
    <cellStyle name="Финансовый 2 33 2 7" xfId="5511"/>
    <cellStyle name="Финансовый 2 33 3" xfId="1622"/>
    <cellStyle name="Финансовый 2 33 3 2" xfId="6318"/>
    <cellStyle name="Финансовый 2 33 4" xfId="2531"/>
    <cellStyle name="Финансовый 2 33 4 2" xfId="6970"/>
    <cellStyle name="Финансовый 2 33 5" xfId="3287"/>
    <cellStyle name="Финансовый 2 33 5 2" xfId="7772"/>
    <cellStyle name="Финансовый 2 33 6" xfId="4028"/>
    <cellStyle name="Финансовый 2 33 7" xfId="4769"/>
    <cellStyle name="Финансовый 2 33 8" xfId="5510"/>
    <cellStyle name="Финансовый 2 34" xfId="610"/>
    <cellStyle name="Финансовый 2 34 2" xfId="611"/>
    <cellStyle name="Финансовый 2 34 2 2" xfId="1625"/>
    <cellStyle name="Финансовый 2 34 2 2 2" xfId="6321"/>
    <cellStyle name="Финансовый 2 34 2 3" xfId="2534"/>
    <cellStyle name="Финансовый 2 34 2 3 2" xfId="6967"/>
    <cellStyle name="Финансовый 2 34 2 4" xfId="3290"/>
    <cellStyle name="Финансовый 2 34 2 4 2" xfId="7775"/>
    <cellStyle name="Финансовый 2 34 2 5" xfId="4031"/>
    <cellStyle name="Финансовый 2 34 2 6" xfId="4772"/>
    <cellStyle name="Финансовый 2 34 2 7" xfId="5513"/>
    <cellStyle name="Финансовый 2 34 3" xfId="1624"/>
    <cellStyle name="Финансовый 2 34 3 2" xfId="6320"/>
    <cellStyle name="Финансовый 2 34 4" xfId="2533"/>
    <cellStyle name="Финансовый 2 34 4 2" xfId="6968"/>
    <cellStyle name="Финансовый 2 34 5" xfId="3289"/>
    <cellStyle name="Финансовый 2 34 5 2" xfId="7774"/>
    <cellStyle name="Финансовый 2 34 6" xfId="4030"/>
    <cellStyle name="Финансовый 2 34 7" xfId="4771"/>
    <cellStyle name="Финансовый 2 34 8" xfId="5512"/>
    <cellStyle name="Финансовый 2 35" xfId="612"/>
    <cellStyle name="Финансовый 2 35 2" xfId="613"/>
    <cellStyle name="Финансовый 2 35 2 2" xfId="1627"/>
    <cellStyle name="Финансовый 2 35 2 2 2" xfId="6323"/>
    <cellStyle name="Финансовый 2 35 2 3" xfId="2536"/>
    <cellStyle name="Финансовый 2 35 2 3 2" xfId="6965"/>
    <cellStyle name="Финансовый 2 35 2 4" xfId="3292"/>
    <cellStyle name="Финансовый 2 35 2 4 2" xfId="7777"/>
    <cellStyle name="Финансовый 2 35 2 5" xfId="4033"/>
    <cellStyle name="Финансовый 2 35 2 6" xfId="4774"/>
    <cellStyle name="Финансовый 2 35 2 7" xfId="5515"/>
    <cellStyle name="Финансовый 2 35 3" xfId="1626"/>
    <cellStyle name="Финансовый 2 35 3 2" xfId="6322"/>
    <cellStyle name="Финансовый 2 35 4" xfId="2535"/>
    <cellStyle name="Финансовый 2 35 4 2" xfId="6966"/>
    <cellStyle name="Финансовый 2 35 5" xfId="3291"/>
    <cellStyle name="Финансовый 2 35 5 2" xfId="7776"/>
    <cellStyle name="Финансовый 2 35 6" xfId="4032"/>
    <cellStyle name="Финансовый 2 35 7" xfId="4773"/>
    <cellStyle name="Финансовый 2 35 8" xfId="5514"/>
    <cellStyle name="Финансовый 2 36" xfId="614"/>
    <cellStyle name="Финансовый 2 36 2" xfId="615"/>
    <cellStyle name="Финансовый 2 36 2 2" xfId="1629"/>
    <cellStyle name="Финансовый 2 36 2 2 2" xfId="6325"/>
    <cellStyle name="Финансовый 2 36 2 3" xfId="2538"/>
    <cellStyle name="Финансовый 2 36 2 3 2" xfId="6963"/>
    <cellStyle name="Финансовый 2 36 2 4" xfId="3294"/>
    <cellStyle name="Финансовый 2 36 2 4 2" xfId="7779"/>
    <cellStyle name="Финансовый 2 36 2 5" xfId="4035"/>
    <cellStyle name="Финансовый 2 36 2 6" xfId="4776"/>
    <cellStyle name="Финансовый 2 36 2 7" xfId="5517"/>
    <cellStyle name="Финансовый 2 36 3" xfId="1628"/>
    <cellStyle name="Финансовый 2 36 3 2" xfId="6324"/>
    <cellStyle name="Финансовый 2 36 4" xfId="2537"/>
    <cellStyle name="Финансовый 2 36 4 2" xfId="6964"/>
    <cellStyle name="Финансовый 2 36 5" xfId="3293"/>
    <cellStyle name="Финансовый 2 36 5 2" xfId="7778"/>
    <cellStyle name="Финансовый 2 36 6" xfId="4034"/>
    <cellStyle name="Финансовый 2 36 7" xfId="4775"/>
    <cellStyle name="Финансовый 2 36 8" xfId="5516"/>
    <cellStyle name="Финансовый 2 37" xfId="616"/>
    <cellStyle name="Финансовый 2 37 2" xfId="617"/>
    <cellStyle name="Финансовый 2 37 2 2" xfId="1631"/>
    <cellStyle name="Финансовый 2 37 2 3" xfId="7780"/>
    <cellStyle name="Финансовый 2 37 3" xfId="1630"/>
    <cellStyle name="Финансовый 2 37 4" xfId="7377"/>
    <cellStyle name="Финансовый 2 38" xfId="618"/>
    <cellStyle name="Финансовый 2 38 2" xfId="619"/>
    <cellStyle name="Финансовый 2 38 2 2" xfId="1633"/>
    <cellStyle name="Финансовый 2 38 2 2 2" xfId="6328"/>
    <cellStyle name="Финансовый 2 38 2 3" xfId="2540"/>
    <cellStyle name="Финансовый 2 38 2 3 2" xfId="6961"/>
    <cellStyle name="Финансовый 2 38 2 4" xfId="3296"/>
    <cellStyle name="Финансовый 2 38 2 4 2" xfId="7782"/>
    <cellStyle name="Финансовый 2 38 2 5" xfId="4037"/>
    <cellStyle name="Финансовый 2 38 2 6" xfId="4778"/>
    <cellStyle name="Финансовый 2 38 2 7" xfId="5519"/>
    <cellStyle name="Финансовый 2 38 3" xfId="1632"/>
    <cellStyle name="Финансовый 2 38 3 2" xfId="6327"/>
    <cellStyle name="Финансовый 2 38 4" xfId="2539"/>
    <cellStyle name="Финансовый 2 38 4 2" xfId="6962"/>
    <cellStyle name="Финансовый 2 38 5" xfId="3295"/>
    <cellStyle name="Финансовый 2 38 5 2" xfId="7781"/>
    <cellStyle name="Финансовый 2 38 6" xfId="4036"/>
    <cellStyle name="Финансовый 2 38 7" xfId="4777"/>
    <cellStyle name="Финансовый 2 38 8" xfId="5518"/>
    <cellStyle name="Финансовый 2 39" xfId="620"/>
    <cellStyle name="Финансовый 2 39 2" xfId="621"/>
    <cellStyle name="Финансовый 2 39 2 2" xfId="1635"/>
    <cellStyle name="Финансовый 2 39 2 2 2" xfId="6330"/>
    <cellStyle name="Финансовый 2 39 2 3" xfId="2542"/>
    <cellStyle name="Финансовый 2 39 2 3 2" xfId="6959"/>
    <cellStyle name="Финансовый 2 39 2 4" xfId="3298"/>
    <cellStyle name="Финансовый 2 39 2 4 2" xfId="7784"/>
    <cellStyle name="Финансовый 2 39 2 5" xfId="4039"/>
    <cellStyle name="Финансовый 2 39 2 6" xfId="4780"/>
    <cellStyle name="Финансовый 2 39 2 7" xfId="5521"/>
    <cellStyle name="Финансовый 2 39 3" xfId="1634"/>
    <cellStyle name="Финансовый 2 39 3 2" xfId="6329"/>
    <cellStyle name="Финансовый 2 39 4" xfId="2541"/>
    <cellStyle name="Финансовый 2 39 4 2" xfId="6960"/>
    <cellStyle name="Финансовый 2 39 5" xfId="3297"/>
    <cellStyle name="Финансовый 2 39 5 2" xfId="7783"/>
    <cellStyle name="Финансовый 2 39 6" xfId="4038"/>
    <cellStyle name="Финансовый 2 39 7" xfId="4779"/>
    <cellStyle name="Финансовый 2 39 8" xfId="5520"/>
    <cellStyle name="Финансовый 2 4" xfId="86"/>
    <cellStyle name="Финансовый 2 4 2" xfId="623"/>
    <cellStyle name="Финансовый 2 4 2 2" xfId="1637"/>
    <cellStyle name="Финансовый 2 4 2 2 2" xfId="6332"/>
    <cellStyle name="Финансовый 2 4 2 3" xfId="2544"/>
    <cellStyle name="Финансовый 2 4 2 3 2" xfId="6957"/>
    <cellStyle name="Финансовый 2 4 2 4" xfId="3300"/>
    <cellStyle name="Финансовый 2 4 2 4 2" xfId="7786"/>
    <cellStyle name="Финансовый 2 4 2 5" xfId="4041"/>
    <cellStyle name="Финансовый 2 4 2 6" xfId="4782"/>
    <cellStyle name="Финансовый 2 4 2 7" xfId="5523"/>
    <cellStyle name="Финансовый 2 4 3" xfId="622"/>
    <cellStyle name="Финансовый 2 4 3 2" xfId="1638"/>
    <cellStyle name="Финансовый 2 4 3 2 2" xfId="6827"/>
    <cellStyle name="Финансовый 2 4 3 3" xfId="2915"/>
    <cellStyle name="Финансовый 2 4 3 3 2" xfId="6956"/>
    <cellStyle name="Финансовый 2 4 3 4" xfId="3656"/>
    <cellStyle name="Финансовый 2 4 3 4 2" xfId="7787"/>
    <cellStyle name="Финансовый 2 4 3 5" xfId="4397"/>
    <cellStyle name="Финансовый 2 4 3 6" xfId="5138"/>
    <cellStyle name="Финансовый 2 4 3 7" xfId="5879"/>
    <cellStyle name="Финансовый 2 4 4" xfId="1636"/>
    <cellStyle name="Финансовый 2 4 4 2" xfId="6331"/>
    <cellStyle name="Финансовый 2 4 5" xfId="2543"/>
    <cellStyle name="Финансовый 2 4 5 2" xfId="6958"/>
    <cellStyle name="Финансовый 2 4 6" xfId="3299"/>
    <cellStyle name="Финансовый 2 4 6 2" xfId="7785"/>
    <cellStyle name="Финансовый 2 4 7" xfId="4040"/>
    <cellStyle name="Финансовый 2 4 8" xfId="4781"/>
    <cellStyle name="Финансовый 2 4 9" xfId="5522"/>
    <cellStyle name="Финансовый 2 40" xfId="624"/>
    <cellStyle name="Финансовый 2 40 2" xfId="625"/>
    <cellStyle name="Финансовый 2 40 2 2" xfId="1640"/>
    <cellStyle name="Финансовый 2 40 2 2 2" xfId="6334"/>
    <cellStyle name="Финансовый 2 40 2 3" xfId="2546"/>
    <cellStyle name="Финансовый 2 40 2 3 2" xfId="6954"/>
    <cellStyle name="Финансовый 2 40 2 4" xfId="3302"/>
    <cellStyle name="Финансовый 2 40 2 4 2" xfId="7789"/>
    <cellStyle name="Финансовый 2 40 2 5" xfId="4043"/>
    <cellStyle name="Финансовый 2 40 2 6" xfId="4784"/>
    <cellStyle name="Финансовый 2 40 2 7" xfId="5525"/>
    <cellStyle name="Финансовый 2 40 3" xfId="1639"/>
    <cellStyle name="Финансовый 2 40 3 2" xfId="6333"/>
    <cellStyle name="Финансовый 2 40 4" xfId="2545"/>
    <cellStyle name="Финансовый 2 40 4 2" xfId="6955"/>
    <cellStyle name="Финансовый 2 40 5" xfId="3301"/>
    <cellStyle name="Финансовый 2 40 5 2" xfId="7788"/>
    <cellStyle name="Финансовый 2 40 6" xfId="4042"/>
    <cellStyle name="Финансовый 2 40 7" xfId="4783"/>
    <cellStyle name="Финансовый 2 40 8" xfId="5524"/>
    <cellStyle name="Финансовый 2 41" xfId="626"/>
    <cellStyle name="Финансовый 2 41 2" xfId="627"/>
    <cellStyle name="Финансовый 2 41 2 2" xfId="1642"/>
    <cellStyle name="Финансовый 2 41 2 2 2" xfId="6336"/>
    <cellStyle name="Финансовый 2 41 2 3" xfId="2548"/>
    <cellStyle name="Финансовый 2 41 2 3 2" xfId="6952"/>
    <cellStyle name="Финансовый 2 41 2 4" xfId="3304"/>
    <cellStyle name="Финансовый 2 41 2 4 2" xfId="7791"/>
    <cellStyle name="Финансовый 2 41 2 5" xfId="4045"/>
    <cellStyle name="Финансовый 2 41 2 6" xfId="4786"/>
    <cellStyle name="Финансовый 2 41 2 7" xfId="5527"/>
    <cellStyle name="Финансовый 2 41 3" xfId="1641"/>
    <cellStyle name="Финансовый 2 41 3 2" xfId="6335"/>
    <cellStyle name="Финансовый 2 41 4" xfId="2547"/>
    <cellStyle name="Финансовый 2 41 4 2" xfId="6953"/>
    <cellStyle name="Финансовый 2 41 5" xfId="3303"/>
    <cellStyle name="Финансовый 2 41 5 2" xfId="7790"/>
    <cellStyle name="Финансовый 2 41 6" xfId="4044"/>
    <cellStyle name="Финансовый 2 41 7" xfId="4785"/>
    <cellStyle name="Финансовый 2 41 8" xfId="5526"/>
    <cellStyle name="Финансовый 2 42" xfId="628"/>
    <cellStyle name="Финансовый 2 42 2" xfId="1643"/>
    <cellStyle name="Финансовый 2 42 2 2" xfId="6337"/>
    <cellStyle name="Финансовый 2 42 3" xfId="2549"/>
    <cellStyle name="Финансовый 2 42 3 2" xfId="6951"/>
    <cellStyle name="Финансовый 2 42 4" xfId="3305"/>
    <cellStyle name="Финансовый 2 42 4 2" xfId="7792"/>
    <cellStyle name="Финансовый 2 42 5" xfId="4046"/>
    <cellStyle name="Финансовый 2 42 6" xfId="4787"/>
    <cellStyle name="Финансовый 2 42 7" xfId="5528"/>
    <cellStyle name="Финансовый 2 43" xfId="629"/>
    <cellStyle name="Финансовый 2 43 2" xfId="1644"/>
    <cellStyle name="Финансовый 2 43 2 2" xfId="6338"/>
    <cellStyle name="Финансовый 2 43 3" xfId="2550"/>
    <cellStyle name="Финансовый 2 43 3 2" xfId="6950"/>
    <cellStyle name="Финансовый 2 43 4" xfId="3306"/>
    <cellStyle name="Финансовый 2 43 4 2" xfId="7793"/>
    <cellStyle name="Финансовый 2 43 5" xfId="4047"/>
    <cellStyle name="Финансовый 2 43 6" xfId="4788"/>
    <cellStyle name="Финансовый 2 43 7" xfId="5529"/>
    <cellStyle name="Финансовый 2 44" xfId="480"/>
    <cellStyle name="Финансовый 2 44 2" xfId="1645"/>
    <cellStyle name="Финансовый 2 44 2 2" xfId="6339"/>
    <cellStyle name="Финансовый 2 44 3" xfId="2551"/>
    <cellStyle name="Финансовый 2 44 3 2" xfId="6949"/>
    <cellStyle name="Финансовый 2 44 4" xfId="3307"/>
    <cellStyle name="Финансовый 2 44 4 2" xfId="7794"/>
    <cellStyle name="Финансовый 2 44 5" xfId="4048"/>
    <cellStyle name="Финансовый 2 44 6" xfId="4789"/>
    <cellStyle name="Финансовый 2 44 7" xfId="5530"/>
    <cellStyle name="Финансовый 2 45" xfId="1646"/>
    <cellStyle name="Финансовый 2 45 2" xfId="2552"/>
    <cellStyle name="Финансовый 2 45 2 2" xfId="6340"/>
    <cellStyle name="Финансовый 2 45 3" xfId="3308"/>
    <cellStyle name="Финансовый 2 45 3 2" xfId="6948"/>
    <cellStyle name="Финансовый 2 45 4" xfId="4049"/>
    <cellStyle name="Финансовый 2 45 4 2" xfId="7795"/>
    <cellStyle name="Финансовый 2 45 5" xfId="4790"/>
    <cellStyle name="Финансовый 2 45 6" xfId="5531"/>
    <cellStyle name="Финансовый 2 46" xfId="1647"/>
    <cellStyle name="Финансовый 2 46 2" xfId="2553"/>
    <cellStyle name="Финансовый 2 46 2 2" xfId="6341"/>
    <cellStyle name="Финансовый 2 46 3" xfId="3309"/>
    <cellStyle name="Финансовый 2 46 3 2" xfId="6947"/>
    <cellStyle name="Финансовый 2 46 4" xfId="4050"/>
    <cellStyle name="Финансовый 2 46 4 2" xfId="7796"/>
    <cellStyle name="Финансовый 2 46 5" xfId="4791"/>
    <cellStyle name="Финансовый 2 46 6" xfId="5532"/>
    <cellStyle name="Финансовый 2 47" xfId="1648"/>
    <cellStyle name="Финансовый 2 47 2" xfId="2554"/>
    <cellStyle name="Финансовый 2 47 2 2" xfId="6342"/>
    <cellStyle name="Финансовый 2 47 3" xfId="3310"/>
    <cellStyle name="Финансовый 2 47 3 2" xfId="6946"/>
    <cellStyle name="Финансовый 2 47 4" xfId="4051"/>
    <cellStyle name="Финансовый 2 47 4 2" xfId="7797"/>
    <cellStyle name="Финансовый 2 47 5" xfId="4792"/>
    <cellStyle name="Финансовый 2 47 6" xfId="5533"/>
    <cellStyle name="Финансовый 2 48" xfId="1649"/>
    <cellStyle name="Финансовый 2 48 2" xfId="2877"/>
    <cellStyle name="Финансовый 2 48 2 2" xfId="6789"/>
    <cellStyle name="Финансовый 2 48 3" xfId="3620"/>
    <cellStyle name="Финансовый 2 48 3 2" xfId="6945"/>
    <cellStyle name="Финансовый 2 48 4" xfId="4361"/>
    <cellStyle name="Финансовый 2 48 4 2" xfId="7798"/>
    <cellStyle name="Финансовый 2 48 5" xfId="5102"/>
    <cellStyle name="Финансовый 2 48 6" xfId="5843"/>
    <cellStyle name="Финансовый 2 49" xfId="1650"/>
    <cellStyle name="Финансовый 2 49 2" xfId="2891"/>
    <cellStyle name="Финансовый 2 49 2 2" xfId="6803"/>
    <cellStyle name="Финансовый 2 49 3" xfId="3632"/>
    <cellStyle name="Финансовый 2 49 3 2" xfId="6944"/>
    <cellStyle name="Финансовый 2 49 4" xfId="4373"/>
    <cellStyle name="Финансовый 2 49 4 2" xfId="7799"/>
    <cellStyle name="Финансовый 2 49 5" xfId="5114"/>
    <cellStyle name="Финансовый 2 49 6" xfId="5855"/>
    <cellStyle name="Финансовый 2 5" xfId="84"/>
    <cellStyle name="Финансовый 2 5 2" xfId="631"/>
    <cellStyle name="Финансовый 2 5 2 2" xfId="1652"/>
    <cellStyle name="Финансовый 2 5 2 3" xfId="7801"/>
    <cellStyle name="Финансовый 2 5 3" xfId="630"/>
    <cellStyle name="Финансовый 2 5 3 2" xfId="7325"/>
    <cellStyle name="Финансовый 2 5 4" xfId="1651"/>
    <cellStyle name="Финансовый 2 5 4 2" xfId="7800"/>
    <cellStyle name="Финансовый 2 50" xfId="1653"/>
    <cellStyle name="Финансовый 2 50 2" xfId="2903"/>
    <cellStyle name="Финансовый 2 50 2 2" xfId="6815"/>
    <cellStyle name="Финансовый 2 50 3" xfId="3644"/>
    <cellStyle name="Финансовый 2 50 3 2" xfId="6943"/>
    <cellStyle name="Финансовый 2 50 4" xfId="4385"/>
    <cellStyle name="Финансовый 2 50 4 2" xfId="7802"/>
    <cellStyle name="Финансовый 2 50 5" xfId="5126"/>
    <cellStyle name="Финансовый 2 50 6" xfId="5867"/>
    <cellStyle name="Финансовый 2 51" xfId="1654"/>
    <cellStyle name="Финансовый 2 51 2" xfId="2417"/>
    <cellStyle name="Финансовый 2 51 2 2" xfId="6190"/>
    <cellStyle name="Финансовый 2 51 3" xfId="3173"/>
    <cellStyle name="Финансовый 2 51 3 2" xfId="6744"/>
    <cellStyle name="Финансовый 2 51 4" xfId="3914"/>
    <cellStyle name="Финансовый 2 51 4 2" xfId="7803"/>
    <cellStyle name="Финансовый 2 51 5" xfId="4655"/>
    <cellStyle name="Финансовый 2 51 6" xfId="5396"/>
    <cellStyle name="Финансовый 2 52" xfId="1481"/>
    <cellStyle name="Финансовый 2 52 2" xfId="5918"/>
    <cellStyle name="Финансовый 2 53" xfId="2203"/>
    <cellStyle name="Финансовый 2 53 2" xfId="7053"/>
    <cellStyle name="Финансовый 2 54" xfId="2952"/>
    <cellStyle name="Финансовый 2 54 2" xfId="7653"/>
    <cellStyle name="Финансовый 2 55" xfId="3693"/>
    <cellStyle name="Финансовый 2 56" xfId="4434"/>
    <cellStyle name="Финансовый 2 57" xfId="5180"/>
    <cellStyle name="Финансовый 2 6" xfId="117"/>
    <cellStyle name="Финансовый 2 6 2" xfId="633"/>
    <cellStyle name="Финансовый 2 6 2 2" xfId="1656"/>
    <cellStyle name="Финансовый 2 6 2 2 2" xfId="6346"/>
    <cellStyle name="Финансовый 2 6 2 3" xfId="2556"/>
    <cellStyle name="Финансовый 2 6 2 3 2" xfId="6942"/>
    <cellStyle name="Финансовый 2 6 2 4" xfId="3312"/>
    <cellStyle name="Финансовый 2 6 2 4 2" xfId="7805"/>
    <cellStyle name="Финансовый 2 6 2 5" xfId="4053"/>
    <cellStyle name="Финансовый 2 6 2 6" xfId="4794"/>
    <cellStyle name="Финансовый 2 6 2 7" xfId="5535"/>
    <cellStyle name="Финансовый 2 6 3" xfId="632"/>
    <cellStyle name="Финансовый 2 6 3 2" xfId="6345"/>
    <cellStyle name="Финансовый 2 6 4" xfId="1655"/>
    <cellStyle name="Финансовый 2 6 5" xfId="2555"/>
    <cellStyle name="Финансовый 2 6 5 2" xfId="7804"/>
    <cellStyle name="Финансовый 2 6 6" xfId="3311"/>
    <cellStyle name="Финансовый 2 6 7" xfId="4052"/>
    <cellStyle name="Финансовый 2 6 8" xfId="4793"/>
    <cellStyle name="Финансовый 2 6 9" xfId="5534"/>
    <cellStyle name="Финансовый 2 7" xfId="136"/>
    <cellStyle name="Финансовый 2 7 2" xfId="635"/>
    <cellStyle name="Финансовый 2 7 2 2" xfId="1658"/>
    <cellStyle name="Финансовый 2 7 2 3" xfId="7807"/>
    <cellStyle name="Финансовый 2 7 3" xfId="634"/>
    <cellStyle name="Финансовый 2 7 3 2" xfId="6941"/>
    <cellStyle name="Финансовый 2 7 4" xfId="1657"/>
    <cellStyle name="Финансовый 2 7 4 2" xfId="7806"/>
    <cellStyle name="Финансовый 2 8" xfId="151"/>
    <cellStyle name="Финансовый 2 8 2" xfId="637"/>
    <cellStyle name="Финансовый 2 8 2 2" xfId="1660"/>
    <cellStyle name="Финансовый 2 8 2 2 2" xfId="6350"/>
    <cellStyle name="Финансовый 2 8 2 3" xfId="2558"/>
    <cellStyle name="Финансовый 2 8 2 3 2" xfId="6890"/>
    <cellStyle name="Финансовый 2 8 2 4" xfId="3314"/>
    <cellStyle name="Финансовый 2 8 2 4 2" xfId="7809"/>
    <cellStyle name="Финансовый 2 8 2 5" xfId="4055"/>
    <cellStyle name="Финансовый 2 8 2 6" xfId="4796"/>
    <cellStyle name="Финансовый 2 8 2 7" xfId="5537"/>
    <cellStyle name="Финансовый 2 8 3" xfId="636"/>
    <cellStyle name="Финансовый 2 8 3 2" xfId="6349"/>
    <cellStyle name="Финансовый 2 8 4" xfId="1659"/>
    <cellStyle name="Финансовый 2 8 5" xfId="2557"/>
    <cellStyle name="Финансовый 2 8 5 2" xfId="7808"/>
    <cellStyle name="Финансовый 2 8 6" xfId="3313"/>
    <cellStyle name="Финансовый 2 8 7" xfId="4054"/>
    <cellStyle name="Финансовый 2 8 8" xfId="4795"/>
    <cellStyle name="Финансовый 2 8 9" xfId="5536"/>
    <cellStyle name="Финансовый 2 9" xfId="166"/>
    <cellStyle name="Финансовый 2 9 2" xfId="639"/>
    <cellStyle name="Финансовый 2 9 2 2" xfId="1662"/>
    <cellStyle name="Финансовый 2 9 2 2 2" xfId="6352"/>
    <cellStyle name="Финансовый 2 9 2 3" xfId="2560"/>
    <cellStyle name="Финансовый 2 9 2 3 2" xfId="6940"/>
    <cellStyle name="Финансовый 2 9 2 4" xfId="3316"/>
    <cellStyle name="Финансовый 2 9 2 4 2" xfId="7811"/>
    <cellStyle name="Финансовый 2 9 2 5" xfId="4057"/>
    <cellStyle name="Финансовый 2 9 2 6" xfId="4798"/>
    <cellStyle name="Финансовый 2 9 2 7" xfId="5539"/>
    <cellStyle name="Финансовый 2 9 3" xfId="638"/>
    <cellStyle name="Финансовый 2 9 3 2" xfId="6351"/>
    <cellStyle name="Финансовый 2 9 4" xfId="1661"/>
    <cellStyle name="Финансовый 2 9 5" xfId="2559"/>
    <cellStyle name="Финансовый 2 9 5 2" xfId="7810"/>
    <cellStyle name="Финансовый 2 9 6" xfId="3315"/>
    <cellStyle name="Финансовый 2 9 7" xfId="4056"/>
    <cellStyle name="Финансовый 2 9 8" xfId="4797"/>
    <cellStyle name="Финансовый 2 9 9" xfId="5538"/>
    <cellStyle name="Финансовый 3" xfId="58"/>
    <cellStyle name="Финансовый 3 10" xfId="191"/>
    <cellStyle name="Финансовый 3 10 2" xfId="642"/>
    <cellStyle name="Финансовый 3 10 2 2" xfId="1665"/>
    <cellStyle name="Финансовый 3 10 2 3" xfId="7814"/>
    <cellStyle name="Финансовый 3 10 3" xfId="641"/>
    <cellStyle name="Финансовый 3 10 3 2" xfId="7185"/>
    <cellStyle name="Финансовый 3 10 4" xfId="1664"/>
    <cellStyle name="Финансовый 3 10 4 2" xfId="7813"/>
    <cellStyle name="Финансовый 3 11" xfId="205"/>
    <cellStyle name="Финансовый 3 11 2" xfId="644"/>
    <cellStyle name="Финансовый 3 11 2 2" xfId="1667"/>
    <cellStyle name="Финансовый 3 11 2 3" xfId="7816"/>
    <cellStyle name="Финансовый 3 11 3" xfId="643"/>
    <cellStyle name="Финансовый 3 11 3 2" xfId="7288"/>
    <cellStyle name="Финансовый 3 11 4" xfId="1666"/>
    <cellStyle name="Финансовый 3 11 4 2" xfId="7815"/>
    <cellStyle name="Финансовый 3 12" xfId="222"/>
    <cellStyle name="Финансовый 3 12 2" xfId="646"/>
    <cellStyle name="Финансовый 3 12 2 2" xfId="1669"/>
    <cellStyle name="Финансовый 3 12 2 3" xfId="7818"/>
    <cellStyle name="Финансовый 3 12 3" xfId="645"/>
    <cellStyle name="Финансовый 3 12 3 2" xfId="7273"/>
    <cellStyle name="Финансовый 3 12 4" xfId="1668"/>
    <cellStyle name="Финансовый 3 12 4 2" xfId="7817"/>
    <cellStyle name="Финансовый 3 13" xfId="233"/>
    <cellStyle name="Финансовый 3 13 2" xfId="648"/>
    <cellStyle name="Финансовый 3 13 2 2" xfId="1671"/>
    <cellStyle name="Финансовый 3 13 2 3" xfId="7820"/>
    <cellStyle name="Финансовый 3 13 3" xfId="647"/>
    <cellStyle name="Финансовый 3 13 3 2" xfId="7280"/>
    <cellStyle name="Финансовый 3 13 4" xfId="1670"/>
    <cellStyle name="Финансовый 3 13 4 2" xfId="7819"/>
    <cellStyle name="Финансовый 3 14" xfId="649"/>
    <cellStyle name="Финансовый 3 14 2" xfId="1672"/>
    <cellStyle name="Финансовый 3 15" xfId="650"/>
    <cellStyle name="Финансовый 3 15 2" xfId="651"/>
    <cellStyle name="Финансовый 3 15 2 2" xfId="1674"/>
    <cellStyle name="Финансовый 3 15 2 3" xfId="7822"/>
    <cellStyle name="Финансовый 3 15 3" xfId="1673"/>
    <cellStyle name="Финансовый 3 15 4" xfId="7821"/>
    <cellStyle name="Финансовый 3 16" xfId="652"/>
    <cellStyle name="Финансовый 3 16 2" xfId="653"/>
    <cellStyle name="Финансовый 3 16 2 2" xfId="1676"/>
    <cellStyle name="Финансовый 3 16 2 3" xfId="7824"/>
    <cellStyle name="Финансовый 3 16 3" xfId="1675"/>
    <cellStyle name="Финансовый 3 16 4" xfId="7823"/>
    <cellStyle name="Финансовый 3 17" xfId="654"/>
    <cellStyle name="Финансовый 3 17 2" xfId="655"/>
    <cellStyle name="Финансовый 3 17 2 2" xfId="1678"/>
    <cellStyle name="Финансовый 3 17 2 3" xfId="7826"/>
    <cellStyle name="Финансовый 3 17 3" xfId="1677"/>
    <cellStyle name="Финансовый 3 17 4" xfId="7825"/>
    <cellStyle name="Финансовый 3 18" xfId="656"/>
    <cellStyle name="Финансовый 3 18 2" xfId="657"/>
    <cellStyle name="Финансовый 3 18 2 2" xfId="1680"/>
    <cellStyle name="Финансовый 3 18 2 3" xfId="7828"/>
    <cellStyle name="Финансовый 3 18 3" xfId="1679"/>
    <cellStyle name="Финансовый 3 18 4" xfId="7827"/>
    <cellStyle name="Финансовый 3 19" xfId="658"/>
    <cellStyle name="Финансовый 3 19 2" xfId="659"/>
    <cellStyle name="Финансовый 3 19 2 2" xfId="1682"/>
    <cellStyle name="Финансовый 3 19 2 3" xfId="7830"/>
    <cellStyle name="Финансовый 3 19 3" xfId="1681"/>
    <cellStyle name="Финансовый 3 19 4" xfId="7829"/>
    <cellStyle name="Финансовый 3 2" xfId="74"/>
    <cellStyle name="Финансовый 3 2 2" xfId="661"/>
    <cellStyle name="Финансовый 3 2 2 2" xfId="1684"/>
    <cellStyle name="Финансовый 3 2 2 3" xfId="7832"/>
    <cellStyle name="Финансовый 3 2 3" xfId="660"/>
    <cellStyle name="Финансовый 3 2 3 2" xfId="6374"/>
    <cellStyle name="Финансовый 3 2 4" xfId="1683"/>
    <cellStyle name="Финансовый 3 2 4 2" xfId="7831"/>
    <cellStyle name="Финансовый 3 20" xfId="662"/>
    <cellStyle name="Финансовый 3 20 2" xfId="663"/>
    <cellStyle name="Финансовый 3 20 2 2" xfId="1686"/>
    <cellStyle name="Финансовый 3 20 2 3" xfId="7834"/>
    <cellStyle name="Финансовый 3 20 3" xfId="1685"/>
    <cellStyle name="Финансовый 3 20 4" xfId="7833"/>
    <cellStyle name="Финансовый 3 21" xfId="664"/>
    <cellStyle name="Финансовый 3 21 2" xfId="665"/>
    <cellStyle name="Финансовый 3 21 2 2" xfId="1688"/>
    <cellStyle name="Финансовый 3 21 2 3" xfId="7836"/>
    <cellStyle name="Финансовый 3 21 3" xfId="1687"/>
    <cellStyle name="Финансовый 3 21 4" xfId="7835"/>
    <cellStyle name="Финансовый 3 22" xfId="666"/>
    <cellStyle name="Финансовый 3 22 2" xfId="667"/>
    <cellStyle name="Финансовый 3 22 2 2" xfId="1690"/>
    <cellStyle name="Финансовый 3 22 2 3" xfId="7838"/>
    <cellStyle name="Финансовый 3 22 3" xfId="1689"/>
    <cellStyle name="Финансовый 3 22 4" xfId="7837"/>
    <cellStyle name="Финансовый 3 23" xfId="668"/>
    <cellStyle name="Финансовый 3 23 2" xfId="669"/>
    <cellStyle name="Финансовый 3 23 2 2" xfId="1692"/>
    <cellStyle name="Финансовый 3 23 2 3" xfId="8233"/>
    <cellStyle name="Финансовый 3 23 3" xfId="1691"/>
    <cellStyle name="Финансовый 3 23 4" xfId="7839"/>
    <cellStyle name="Финансовый 3 24" xfId="670"/>
    <cellStyle name="Финансовый 3 24 2" xfId="671"/>
    <cellStyle name="Финансовый 3 24 2 2" xfId="1694"/>
    <cellStyle name="Финансовый 3 24 2 3" xfId="7841"/>
    <cellStyle name="Финансовый 3 24 3" xfId="1693"/>
    <cellStyle name="Финансовый 3 24 4" xfId="7840"/>
    <cellStyle name="Финансовый 3 25" xfId="672"/>
    <cellStyle name="Финансовый 3 25 2" xfId="673"/>
    <cellStyle name="Финансовый 3 25 2 2" xfId="1696"/>
    <cellStyle name="Финансовый 3 25 2 3" xfId="7843"/>
    <cellStyle name="Финансовый 3 25 3" xfId="1695"/>
    <cellStyle name="Финансовый 3 25 4" xfId="7842"/>
    <cellStyle name="Финансовый 3 26" xfId="674"/>
    <cellStyle name="Финансовый 3 26 2" xfId="675"/>
    <cellStyle name="Финансовый 3 26 2 2" xfId="1698"/>
    <cellStyle name="Финансовый 3 26 2 3" xfId="7845"/>
    <cellStyle name="Финансовый 3 26 3" xfId="1697"/>
    <cellStyle name="Финансовый 3 26 4" xfId="7844"/>
    <cellStyle name="Финансовый 3 27" xfId="676"/>
    <cellStyle name="Финансовый 3 27 2" xfId="677"/>
    <cellStyle name="Финансовый 3 27 2 2" xfId="1700"/>
    <cellStyle name="Финансовый 3 27 2 3" xfId="7847"/>
    <cellStyle name="Финансовый 3 27 3" xfId="1699"/>
    <cellStyle name="Финансовый 3 27 4" xfId="7846"/>
    <cellStyle name="Финансовый 3 28" xfId="678"/>
    <cellStyle name="Финансовый 3 28 2" xfId="679"/>
    <cellStyle name="Финансовый 3 28 2 2" xfId="1702"/>
    <cellStyle name="Финансовый 3 28 2 3" xfId="8328"/>
    <cellStyle name="Финансовый 3 28 3" xfId="1701"/>
    <cellStyle name="Финансовый 3 28 4" xfId="7998"/>
    <cellStyle name="Финансовый 3 29" xfId="680"/>
    <cellStyle name="Финансовый 3 29 2" xfId="681"/>
    <cellStyle name="Финансовый 3 29 2 2" xfId="1704"/>
    <cellStyle name="Финансовый 3 29 2 3" xfId="7849"/>
    <cellStyle name="Финансовый 3 29 3" xfId="1703"/>
    <cellStyle name="Финансовый 3 29 4" xfId="7848"/>
    <cellStyle name="Финансовый 3 3" xfId="95"/>
    <cellStyle name="Финансовый 3 3 2" xfId="683"/>
    <cellStyle name="Финансовый 3 3 2 2" xfId="1706"/>
    <cellStyle name="Финансовый 3 3 2 3" xfId="8252"/>
    <cellStyle name="Финансовый 3 3 3" xfId="682"/>
    <cellStyle name="Финансовый 3 3 3 2" xfId="6937"/>
    <cellStyle name="Финансовый 3 3 4" xfId="1705"/>
    <cellStyle name="Финансовый 3 3 4 2" xfId="8334"/>
    <cellStyle name="Финансовый 3 30" xfId="684"/>
    <cellStyle name="Финансовый 3 30 2" xfId="685"/>
    <cellStyle name="Финансовый 3 30 2 2" xfId="1708"/>
    <cellStyle name="Финансовый 3 30 2 3" xfId="7851"/>
    <cellStyle name="Финансовый 3 30 3" xfId="1707"/>
    <cellStyle name="Финансовый 3 30 4" xfId="7850"/>
    <cellStyle name="Финансовый 3 31" xfId="686"/>
    <cellStyle name="Финансовый 3 31 2" xfId="687"/>
    <cellStyle name="Финансовый 3 31 2 2" xfId="1710"/>
    <cellStyle name="Финансовый 3 31 2 3" xfId="7852"/>
    <cellStyle name="Финансовый 3 31 3" xfId="1709"/>
    <cellStyle name="Финансовый 3 31 4" xfId="8276"/>
    <cellStyle name="Финансовый 3 32" xfId="688"/>
    <cellStyle name="Финансовый 3 32 2" xfId="689"/>
    <cellStyle name="Финансовый 3 32 2 2" xfId="1712"/>
    <cellStyle name="Финансовый 3 32 2 3" xfId="7854"/>
    <cellStyle name="Финансовый 3 32 3" xfId="1711"/>
    <cellStyle name="Финансовый 3 32 4" xfId="7853"/>
    <cellStyle name="Финансовый 3 33" xfId="690"/>
    <cellStyle name="Финансовый 3 33 2" xfId="691"/>
    <cellStyle name="Финансовый 3 33 2 2" xfId="1714"/>
    <cellStyle name="Финансовый 3 33 2 3" xfId="7856"/>
    <cellStyle name="Финансовый 3 33 3" xfId="1713"/>
    <cellStyle name="Финансовый 3 33 4" xfId="7855"/>
    <cellStyle name="Финансовый 3 34" xfId="692"/>
    <cellStyle name="Финансовый 3 34 2" xfId="693"/>
    <cellStyle name="Финансовый 3 34 2 2" xfId="1716"/>
    <cellStyle name="Финансовый 3 34 2 3" xfId="7858"/>
    <cellStyle name="Финансовый 3 34 3" xfId="1715"/>
    <cellStyle name="Финансовый 3 34 4" xfId="7857"/>
    <cellStyle name="Финансовый 3 35" xfId="694"/>
    <cellStyle name="Финансовый 3 35 2" xfId="695"/>
    <cellStyle name="Финансовый 3 35 2 2" xfId="1718"/>
    <cellStyle name="Финансовый 3 35 2 3" xfId="7859"/>
    <cellStyle name="Финансовый 3 35 3" xfId="1717"/>
    <cellStyle name="Финансовый 3 35 4" xfId="8336"/>
    <cellStyle name="Финансовый 3 36" xfId="696"/>
    <cellStyle name="Финансовый 3 36 2" xfId="697"/>
    <cellStyle name="Финансовый 3 36 2 2" xfId="1720"/>
    <cellStyle name="Финансовый 3 36 2 3" xfId="7861"/>
    <cellStyle name="Финансовый 3 36 3" xfId="1719"/>
    <cellStyle name="Финансовый 3 36 4" xfId="7860"/>
    <cellStyle name="Финансовый 3 37" xfId="698"/>
    <cellStyle name="Финансовый 3 37 2" xfId="699"/>
    <cellStyle name="Финансовый 3 37 2 2" xfId="1722"/>
    <cellStyle name="Финансовый 3 37 2 3" xfId="7863"/>
    <cellStyle name="Финансовый 3 37 3" xfId="1721"/>
    <cellStyle name="Финансовый 3 37 4" xfId="7382"/>
    <cellStyle name="Финансовый 3 38" xfId="700"/>
    <cellStyle name="Финансовый 3 38 2" xfId="701"/>
    <cellStyle name="Финансовый 3 38 2 2" xfId="1724"/>
    <cellStyle name="Финансовый 3 38 2 3" xfId="7865"/>
    <cellStyle name="Финансовый 3 38 3" xfId="1723"/>
    <cellStyle name="Финансовый 3 38 4" xfId="7864"/>
    <cellStyle name="Финансовый 3 39" xfId="702"/>
    <cellStyle name="Финансовый 3 39 2" xfId="703"/>
    <cellStyle name="Финансовый 3 39 2 2" xfId="1726"/>
    <cellStyle name="Финансовый 3 39 2 3" xfId="7867"/>
    <cellStyle name="Финансовый 3 39 3" xfId="1725"/>
    <cellStyle name="Финансовый 3 39 4" xfId="7866"/>
    <cellStyle name="Финансовый 3 4" xfId="113"/>
    <cellStyle name="Финансовый 3 4 2" xfId="705"/>
    <cellStyle name="Финансовый 3 4 2 2" xfId="1728"/>
    <cellStyle name="Финансовый 3 4 2 3" xfId="7869"/>
    <cellStyle name="Финансовый 3 4 3" xfId="704"/>
    <cellStyle name="Финансовый 3 4 3 2" xfId="6344"/>
    <cellStyle name="Финансовый 3 4 4" xfId="1727"/>
    <cellStyle name="Финансовый 3 4 4 2" xfId="7868"/>
    <cellStyle name="Финансовый 3 40" xfId="706"/>
    <cellStyle name="Финансовый 3 40 2" xfId="707"/>
    <cellStyle name="Финансовый 3 40 2 2" xfId="1730"/>
    <cellStyle name="Финансовый 3 40 2 3" xfId="7871"/>
    <cellStyle name="Финансовый 3 40 3" xfId="1729"/>
    <cellStyle name="Финансовый 3 40 4" xfId="7870"/>
    <cellStyle name="Финансовый 3 41" xfId="708"/>
    <cellStyle name="Финансовый 3 41 2" xfId="1731"/>
    <cellStyle name="Финансовый 3 41 3" xfId="7872"/>
    <cellStyle name="Финансовый 3 42" xfId="709"/>
    <cellStyle name="Финансовый 3 42 2" xfId="1732"/>
    <cellStyle name="Финансовый 3 42 3" xfId="7873"/>
    <cellStyle name="Финансовый 3 43" xfId="640"/>
    <cellStyle name="Финансовый 3 43 2" xfId="1733"/>
    <cellStyle name="Финансовый 3 43 3" xfId="7874"/>
    <cellStyle name="Финансовый 3 44" xfId="1734"/>
    <cellStyle name="Финансовый 3 44 2" xfId="2561"/>
    <cellStyle name="Финансовый 3 44 2 2" xfId="6390"/>
    <cellStyle name="Финансовый 3 44 3" xfId="7875"/>
    <cellStyle name="Финансовый 3 45" xfId="1735"/>
    <cellStyle name="Финансовый 3 45 2" xfId="2562"/>
    <cellStyle name="Финансовый 3 45 2 2" xfId="7150"/>
    <cellStyle name="Финансовый 3 45 3" xfId="7876"/>
    <cellStyle name="Финансовый 3 46" xfId="1736"/>
    <cellStyle name="Финансовый 3 46 2" xfId="2563"/>
    <cellStyle name="Финансовый 3 46 2 2" xfId="7182"/>
    <cellStyle name="Финансовый 3 46 3" xfId="7877"/>
    <cellStyle name="Финансовый 3 47" xfId="1737"/>
    <cellStyle name="Финансовый 3 47 2" xfId="2881"/>
    <cellStyle name="Финансовый 3 47 2 2" xfId="6936"/>
    <cellStyle name="Финансовый 3 47 3" xfId="7878"/>
    <cellStyle name="Финансовый 3 48" xfId="1663"/>
    <cellStyle name="Финансовый 3 49" xfId="7812"/>
    <cellStyle name="Финансовый 3 5" xfId="125"/>
    <cellStyle name="Финансовый 3 5 2" xfId="711"/>
    <cellStyle name="Финансовый 3 5 2 2" xfId="1739"/>
    <cellStyle name="Финансовый 3 5 2 3" xfId="7880"/>
    <cellStyle name="Финансовый 3 5 3" xfId="710"/>
    <cellStyle name="Финансовый 3 5 3 2" xfId="6935"/>
    <cellStyle name="Финансовый 3 5 4" xfId="1738"/>
    <cellStyle name="Финансовый 3 5 4 2" xfId="7879"/>
    <cellStyle name="Финансовый 3 6" xfId="118"/>
    <cellStyle name="Финансовый 3 6 2" xfId="713"/>
    <cellStyle name="Финансовый 3 6 2 2" xfId="1741"/>
    <cellStyle name="Финансовый 3 6 2 3" xfId="7881"/>
    <cellStyle name="Финансовый 3 6 3" xfId="712"/>
    <cellStyle name="Финансовый 3 6 3 2" xfId="6934"/>
    <cellStyle name="Финансовый 3 6 4" xfId="1740"/>
    <cellStyle name="Финансовый 3 6 4 2" xfId="8331"/>
    <cellStyle name="Финансовый 3 7" xfId="155"/>
    <cellStyle name="Финансовый 3 7 2" xfId="715"/>
    <cellStyle name="Финансовый 3 7 2 2" xfId="1743"/>
    <cellStyle name="Финансовый 3 7 2 3" xfId="7883"/>
    <cellStyle name="Финансовый 3 7 3" xfId="714"/>
    <cellStyle name="Финансовый 3 7 3 2" xfId="6381"/>
    <cellStyle name="Финансовый 3 7 4" xfId="1742"/>
    <cellStyle name="Финансовый 3 7 4 2" xfId="7882"/>
    <cellStyle name="Финансовый 3 8" xfId="170"/>
    <cellStyle name="Финансовый 3 8 2" xfId="717"/>
    <cellStyle name="Финансовый 3 8 2 2" xfId="1745"/>
    <cellStyle name="Финансовый 3 8 2 3" xfId="8319"/>
    <cellStyle name="Финансовый 3 8 3" xfId="716"/>
    <cellStyle name="Финансовый 3 8 3 2" xfId="6933"/>
    <cellStyle name="Финансовый 3 8 4" xfId="1744"/>
    <cellStyle name="Финансовый 3 8 4 2" xfId="7884"/>
    <cellStyle name="Финансовый 3 9" xfId="180"/>
    <cellStyle name="Финансовый 3 9 2" xfId="719"/>
    <cellStyle name="Финансовый 3 9 2 2" xfId="1747"/>
    <cellStyle name="Финансовый 3 9 2 3" xfId="7886"/>
    <cellStyle name="Финансовый 3 9 3" xfId="718"/>
    <cellStyle name="Финансовый 3 9 3 2" xfId="6932"/>
    <cellStyle name="Финансовый 3 9 4" xfId="1746"/>
    <cellStyle name="Финансовый 3 9 4 2" xfId="7885"/>
    <cellStyle name="Финансовый 4" xfId="62"/>
    <cellStyle name="Финансовый 4 10" xfId="193"/>
    <cellStyle name="Финансовый 4 10 2" xfId="722"/>
    <cellStyle name="Финансовый 4 10 2 2" xfId="1750"/>
    <cellStyle name="Финансовый 4 10 2 2 2" xfId="6400"/>
    <cellStyle name="Финансовый 4 10 2 3" xfId="2566"/>
    <cellStyle name="Финансовый 4 10 2 3 2" xfId="7276"/>
    <cellStyle name="Финансовый 4 10 2 4" xfId="3319"/>
    <cellStyle name="Финансовый 4 10 2 4 2" xfId="7889"/>
    <cellStyle name="Финансовый 4 10 2 5" xfId="4060"/>
    <cellStyle name="Финансовый 4 10 2 6" xfId="4801"/>
    <cellStyle name="Финансовый 4 10 2 7" xfId="5542"/>
    <cellStyle name="Финансовый 4 10 3" xfId="721"/>
    <cellStyle name="Финансовый 4 10 3 2" xfId="6399"/>
    <cellStyle name="Финансовый 4 10 4" xfId="1749"/>
    <cellStyle name="Финансовый 4 10 5" xfId="2565"/>
    <cellStyle name="Финансовый 4 10 5 2" xfId="7888"/>
    <cellStyle name="Финансовый 4 10 6" xfId="3318"/>
    <cellStyle name="Финансовый 4 10 7" xfId="4059"/>
    <cellStyle name="Финансовый 4 10 8" xfId="4800"/>
    <cellStyle name="Финансовый 4 10 9" xfId="5541"/>
    <cellStyle name="Финансовый 4 11" xfId="207"/>
    <cellStyle name="Финансовый 4 11 2" xfId="724"/>
    <cellStyle name="Финансовый 4 11 2 2" xfId="1752"/>
    <cellStyle name="Финансовый 4 11 2 2 2" xfId="6402"/>
    <cellStyle name="Финансовый 4 11 2 3" xfId="2568"/>
    <cellStyle name="Финансовый 4 11 2 3 2" xfId="6931"/>
    <cellStyle name="Финансовый 4 11 2 4" xfId="3321"/>
    <cellStyle name="Финансовый 4 11 2 4 2" xfId="7891"/>
    <cellStyle name="Финансовый 4 11 2 5" xfId="4062"/>
    <cellStyle name="Финансовый 4 11 2 6" xfId="4803"/>
    <cellStyle name="Финансовый 4 11 2 7" xfId="5544"/>
    <cellStyle name="Финансовый 4 11 3" xfId="723"/>
    <cellStyle name="Финансовый 4 11 3 2" xfId="6401"/>
    <cellStyle name="Финансовый 4 11 4" xfId="1751"/>
    <cellStyle name="Финансовый 4 11 5" xfId="2567"/>
    <cellStyle name="Финансовый 4 11 5 2" xfId="7890"/>
    <cellStyle name="Финансовый 4 11 6" xfId="3320"/>
    <cellStyle name="Финансовый 4 11 7" xfId="4061"/>
    <cellStyle name="Финансовый 4 11 8" xfId="4802"/>
    <cellStyle name="Финансовый 4 11 9" xfId="5543"/>
    <cellStyle name="Финансовый 4 12" xfId="223"/>
    <cellStyle name="Финансовый 4 12 2" xfId="726"/>
    <cellStyle name="Финансовый 4 12 2 2" xfId="1754"/>
    <cellStyle name="Финансовый 4 12 2 3" xfId="7893"/>
    <cellStyle name="Финансовый 4 12 3" xfId="725"/>
    <cellStyle name="Финансовый 4 12 3 2" xfId="6930"/>
    <cellStyle name="Финансовый 4 12 4" xfId="1753"/>
    <cellStyle name="Финансовый 4 12 4 2" xfId="7892"/>
    <cellStyle name="Финансовый 4 13" xfId="235"/>
    <cellStyle name="Финансовый 4 13 2" xfId="728"/>
    <cellStyle name="Финансовый 4 13 2 2" xfId="1756"/>
    <cellStyle name="Финансовый 4 13 2 2 2" xfId="6404"/>
    <cellStyle name="Финансовый 4 13 2 3" xfId="2570"/>
    <cellStyle name="Финансовый 4 13 2 3 2" xfId="6718"/>
    <cellStyle name="Финансовый 4 13 2 4" xfId="3323"/>
    <cellStyle name="Финансовый 4 13 2 4 2" xfId="7895"/>
    <cellStyle name="Финансовый 4 13 2 5" xfId="4064"/>
    <cellStyle name="Финансовый 4 13 2 6" xfId="4805"/>
    <cellStyle name="Финансовый 4 13 2 7" xfId="5546"/>
    <cellStyle name="Финансовый 4 13 3" xfId="727"/>
    <cellStyle name="Финансовый 4 13 3 2" xfId="6403"/>
    <cellStyle name="Финансовый 4 13 4" xfId="1755"/>
    <cellStyle name="Финансовый 4 13 5" xfId="2569"/>
    <cellStyle name="Финансовый 4 13 5 2" xfId="7894"/>
    <cellStyle name="Финансовый 4 13 6" xfId="3322"/>
    <cellStyle name="Финансовый 4 13 7" xfId="4063"/>
    <cellStyle name="Финансовый 4 13 8" xfId="4804"/>
    <cellStyle name="Финансовый 4 13 9" xfId="5545"/>
    <cellStyle name="Финансовый 4 14" xfId="729"/>
    <cellStyle name="Финансовый 4 14 2" xfId="1757"/>
    <cellStyle name="Финансовый 4 15" xfId="730"/>
    <cellStyle name="Финансовый 4 15 2" xfId="731"/>
    <cellStyle name="Финансовый 4 15 2 2" xfId="1759"/>
    <cellStyle name="Финансовый 4 15 2 2 2" xfId="6407"/>
    <cellStyle name="Финансовый 4 15 2 3" xfId="2572"/>
    <cellStyle name="Финансовый 4 15 2 3 2" xfId="6928"/>
    <cellStyle name="Финансовый 4 15 2 4" xfId="3325"/>
    <cellStyle name="Финансовый 4 15 2 4 2" xfId="7897"/>
    <cellStyle name="Финансовый 4 15 2 5" xfId="4066"/>
    <cellStyle name="Финансовый 4 15 2 6" xfId="4807"/>
    <cellStyle name="Финансовый 4 15 2 7" xfId="5548"/>
    <cellStyle name="Финансовый 4 15 3" xfId="1758"/>
    <cellStyle name="Финансовый 4 15 3 2" xfId="6406"/>
    <cellStyle name="Финансовый 4 15 4" xfId="2571"/>
    <cellStyle name="Финансовый 4 15 4 2" xfId="6929"/>
    <cellStyle name="Финансовый 4 15 5" xfId="3324"/>
    <cellStyle name="Финансовый 4 15 5 2" xfId="7896"/>
    <cellStyle name="Финансовый 4 15 6" xfId="4065"/>
    <cellStyle name="Финансовый 4 15 7" xfId="4806"/>
    <cellStyle name="Финансовый 4 15 8" xfId="5547"/>
    <cellStyle name="Финансовый 4 16" xfId="732"/>
    <cellStyle name="Финансовый 4 16 2" xfId="733"/>
    <cellStyle name="Финансовый 4 16 2 2" xfId="1761"/>
    <cellStyle name="Финансовый 4 16 2 2 2" xfId="6409"/>
    <cellStyle name="Финансовый 4 16 2 3" xfId="2574"/>
    <cellStyle name="Финансовый 4 16 2 3 2" xfId="6927"/>
    <cellStyle name="Финансовый 4 16 2 4" xfId="3327"/>
    <cellStyle name="Финансовый 4 16 2 4 2" xfId="7899"/>
    <cellStyle name="Финансовый 4 16 2 5" xfId="4068"/>
    <cellStyle name="Финансовый 4 16 2 6" xfId="4809"/>
    <cellStyle name="Финансовый 4 16 2 7" xfId="5550"/>
    <cellStyle name="Финансовый 4 16 3" xfId="1760"/>
    <cellStyle name="Финансовый 4 16 3 2" xfId="6408"/>
    <cellStyle name="Финансовый 4 16 4" xfId="2573"/>
    <cellStyle name="Финансовый 4 16 4 2" xfId="6874"/>
    <cellStyle name="Финансовый 4 16 5" xfId="3326"/>
    <cellStyle name="Финансовый 4 16 5 2" xfId="7898"/>
    <cellStyle name="Финансовый 4 16 6" xfId="4067"/>
    <cellStyle name="Финансовый 4 16 7" xfId="4808"/>
    <cellStyle name="Финансовый 4 16 8" xfId="5549"/>
    <cellStyle name="Финансовый 4 17" xfId="734"/>
    <cellStyle name="Финансовый 4 17 2" xfId="735"/>
    <cellStyle name="Финансовый 4 17 2 2" xfId="1763"/>
    <cellStyle name="Финансовый 4 17 2 2 2" xfId="6411"/>
    <cellStyle name="Финансовый 4 17 2 3" xfId="2576"/>
    <cellStyle name="Финансовый 4 17 2 3 2" xfId="6305"/>
    <cellStyle name="Финансовый 4 17 2 4" xfId="3329"/>
    <cellStyle name="Финансовый 4 17 2 4 2" xfId="7901"/>
    <cellStyle name="Финансовый 4 17 2 5" xfId="4070"/>
    <cellStyle name="Финансовый 4 17 2 6" xfId="4811"/>
    <cellStyle name="Финансовый 4 17 2 7" xfId="5552"/>
    <cellStyle name="Финансовый 4 17 3" xfId="1762"/>
    <cellStyle name="Финансовый 4 17 3 2" xfId="6410"/>
    <cellStyle name="Финансовый 4 17 4" xfId="2575"/>
    <cellStyle name="Финансовый 4 17 4 2" xfId="7300"/>
    <cellStyle name="Финансовый 4 17 5" xfId="3328"/>
    <cellStyle name="Финансовый 4 17 5 2" xfId="7900"/>
    <cellStyle name="Финансовый 4 17 6" xfId="4069"/>
    <cellStyle name="Финансовый 4 17 7" xfId="4810"/>
    <cellStyle name="Финансовый 4 17 8" xfId="5551"/>
    <cellStyle name="Финансовый 4 18" xfId="736"/>
    <cellStyle name="Финансовый 4 18 2" xfId="737"/>
    <cellStyle name="Финансовый 4 18 2 2" xfId="1765"/>
    <cellStyle name="Финансовый 4 18 2 2 2" xfId="6413"/>
    <cellStyle name="Финансовый 4 18 2 3" xfId="2578"/>
    <cellStyle name="Финансовый 4 18 2 3 2" xfId="6926"/>
    <cellStyle name="Финансовый 4 18 2 4" xfId="3331"/>
    <cellStyle name="Финансовый 4 18 2 4 2" xfId="7903"/>
    <cellStyle name="Финансовый 4 18 2 5" xfId="4072"/>
    <cellStyle name="Финансовый 4 18 2 6" xfId="4813"/>
    <cellStyle name="Финансовый 4 18 2 7" xfId="5554"/>
    <cellStyle name="Финансовый 4 18 3" xfId="1764"/>
    <cellStyle name="Финансовый 4 18 3 2" xfId="6412"/>
    <cellStyle name="Финансовый 4 18 4" xfId="2577"/>
    <cellStyle name="Финансовый 4 18 4 2" xfId="7252"/>
    <cellStyle name="Финансовый 4 18 5" xfId="3330"/>
    <cellStyle name="Финансовый 4 18 5 2" xfId="7902"/>
    <cellStyle name="Финансовый 4 18 6" xfId="4071"/>
    <cellStyle name="Финансовый 4 18 7" xfId="4812"/>
    <cellStyle name="Финансовый 4 18 8" xfId="5553"/>
    <cellStyle name="Финансовый 4 19" xfId="738"/>
    <cellStyle name="Финансовый 4 19 2" xfId="739"/>
    <cellStyle name="Финансовый 4 19 2 2" xfId="1767"/>
    <cellStyle name="Финансовый 4 19 2 2 2" xfId="6415"/>
    <cellStyle name="Финансовый 4 19 2 3" xfId="2580"/>
    <cellStyle name="Финансовый 4 19 2 3 2" xfId="7155"/>
    <cellStyle name="Финансовый 4 19 2 4" xfId="3333"/>
    <cellStyle name="Финансовый 4 19 2 4 2" xfId="7905"/>
    <cellStyle name="Финансовый 4 19 2 5" xfId="4074"/>
    <cellStyle name="Финансовый 4 19 2 6" xfId="4815"/>
    <cellStyle name="Финансовый 4 19 2 7" xfId="5556"/>
    <cellStyle name="Финансовый 4 19 3" xfId="1766"/>
    <cellStyle name="Финансовый 4 19 3 2" xfId="6414"/>
    <cellStyle name="Финансовый 4 19 4" xfId="2579"/>
    <cellStyle name="Финансовый 4 19 4 2" xfId="7241"/>
    <cellStyle name="Финансовый 4 19 5" xfId="3332"/>
    <cellStyle name="Финансовый 4 19 5 2" xfId="7904"/>
    <cellStyle name="Финансовый 4 19 6" xfId="4073"/>
    <cellStyle name="Финансовый 4 19 7" xfId="4814"/>
    <cellStyle name="Финансовый 4 19 8" xfId="5555"/>
    <cellStyle name="Финансовый 4 2" xfId="76"/>
    <cellStyle name="Финансовый 4 2 10" xfId="5557"/>
    <cellStyle name="Финансовый 4 2 2" xfId="741"/>
    <cellStyle name="Финансовый 4 2 2 2" xfId="1769"/>
    <cellStyle name="Финансовый 4 2 2 2 2" xfId="6417"/>
    <cellStyle name="Финансовый 4 2 2 3" xfId="2582"/>
    <cellStyle name="Финансовый 4 2 2 3 2" xfId="7238"/>
    <cellStyle name="Финансовый 4 2 2 4" xfId="3335"/>
    <cellStyle name="Финансовый 4 2 2 4 2" xfId="7906"/>
    <cellStyle name="Финансовый 4 2 2 5" xfId="4076"/>
    <cellStyle name="Финансовый 4 2 2 6" xfId="4817"/>
    <cellStyle name="Финансовый 4 2 2 7" xfId="5558"/>
    <cellStyle name="Финансовый 4 2 3" xfId="740"/>
    <cellStyle name="Финансовый 4 2 3 2" xfId="1770"/>
    <cellStyle name="Финансовый 4 2 3 2 2" xfId="6418"/>
    <cellStyle name="Финансовый 4 2 3 3" xfId="2583"/>
    <cellStyle name="Финансовый 4 2 3 3 2" xfId="7296"/>
    <cellStyle name="Финансовый 4 2 3 4" xfId="3336"/>
    <cellStyle name="Финансовый 4 2 3 4 2" xfId="7907"/>
    <cellStyle name="Финансовый 4 2 3 5" xfId="4077"/>
    <cellStyle name="Финансовый 4 2 3 6" xfId="4818"/>
    <cellStyle name="Финансовый 4 2 3 7" xfId="5559"/>
    <cellStyle name="Финансовый 4 2 4" xfId="1771"/>
    <cellStyle name="Финансовый 4 2 4 2" xfId="2931"/>
    <cellStyle name="Финансовый 4 2 4 2 2" xfId="6843"/>
    <cellStyle name="Финансовый 4 2 4 3" xfId="3672"/>
    <cellStyle name="Финансовый 4 2 4 3 2" xfId="6925"/>
    <cellStyle name="Финансовый 4 2 4 4" xfId="4413"/>
    <cellStyle name="Финансовый 4 2 4 4 2" xfId="7908"/>
    <cellStyle name="Финансовый 4 2 4 5" xfId="5154"/>
    <cellStyle name="Финансовый 4 2 4 6" xfId="5895"/>
    <cellStyle name="Финансовый 4 2 5" xfId="1768"/>
    <cellStyle name="Финансовый 4 2 5 2" xfId="6416"/>
    <cellStyle name="Финансовый 4 2 6" xfId="2581"/>
    <cellStyle name="Финансовый 4 2 6 2" xfId="7320"/>
    <cellStyle name="Финансовый 4 2 7" xfId="3334"/>
    <cellStyle name="Финансовый 4 2 7 2" xfId="8309"/>
    <cellStyle name="Финансовый 4 2 8" xfId="4075"/>
    <cellStyle name="Финансовый 4 2 9" xfId="4816"/>
    <cellStyle name="Финансовый 4 20" xfId="742"/>
    <cellStyle name="Финансовый 4 20 2" xfId="743"/>
    <cellStyle name="Финансовый 4 20 2 2" xfId="1773"/>
    <cellStyle name="Финансовый 4 20 2 2 2" xfId="6420"/>
    <cellStyle name="Финансовый 4 20 2 3" xfId="2585"/>
    <cellStyle name="Финансовый 4 20 2 3 2" xfId="6923"/>
    <cellStyle name="Финансовый 4 20 2 4" xfId="3338"/>
    <cellStyle name="Финансовый 4 20 2 4 2" xfId="7909"/>
    <cellStyle name="Финансовый 4 20 2 5" xfId="4079"/>
    <cellStyle name="Финансовый 4 20 2 6" xfId="4820"/>
    <cellStyle name="Финансовый 4 20 2 7" xfId="5561"/>
    <cellStyle name="Финансовый 4 20 3" xfId="1772"/>
    <cellStyle name="Финансовый 4 20 3 2" xfId="6419"/>
    <cellStyle name="Финансовый 4 20 4" xfId="2584"/>
    <cellStyle name="Финансовый 4 20 4 2" xfId="6924"/>
    <cellStyle name="Финансовый 4 20 5" xfId="3337"/>
    <cellStyle name="Финансовый 4 20 5 2" xfId="7979"/>
    <cellStyle name="Финансовый 4 20 6" xfId="4078"/>
    <cellStyle name="Финансовый 4 20 7" xfId="4819"/>
    <cellStyle name="Финансовый 4 20 8" xfId="5560"/>
    <cellStyle name="Финансовый 4 21" xfId="744"/>
    <cellStyle name="Финансовый 4 21 2" xfId="745"/>
    <cellStyle name="Финансовый 4 21 2 2" xfId="1775"/>
    <cellStyle name="Финансовый 4 21 2 2 2" xfId="6422"/>
    <cellStyle name="Финансовый 4 21 2 3" xfId="2587"/>
    <cellStyle name="Финансовый 4 21 2 3 2" xfId="6921"/>
    <cellStyle name="Финансовый 4 21 2 4" xfId="3340"/>
    <cellStyle name="Финансовый 4 21 2 4 2" xfId="7436"/>
    <cellStyle name="Финансовый 4 21 2 5" xfId="4081"/>
    <cellStyle name="Финансовый 4 21 2 6" xfId="4822"/>
    <cellStyle name="Финансовый 4 21 2 7" xfId="5563"/>
    <cellStyle name="Финансовый 4 21 3" xfId="1774"/>
    <cellStyle name="Финансовый 4 21 3 2" xfId="6421"/>
    <cellStyle name="Финансовый 4 21 4" xfId="2586"/>
    <cellStyle name="Финансовый 4 21 4 2" xfId="6922"/>
    <cellStyle name="Финансовый 4 21 5" xfId="3339"/>
    <cellStyle name="Финансовый 4 21 5 2" xfId="7910"/>
    <cellStyle name="Финансовый 4 21 6" xfId="4080"/>
    <cellStyle name="Финансовый 4 21 7" xfId="4821"/>
    <cellStyle name="Финансовый 4 21 8" xfId="5562"/>
    <cellStyle name="Финансовый 4 22" xfId="746"/>
    <cellStyle name="Финансовый 4 22 2" xfId="747"/>
    <cellStyle name="Финансовый 4 22 2 2" xfId="1777"/>
    <cellStyle name="Финансовый 4 22 2 2 2" xfId="6424"/>
    <cellStyle name="Финансовый 4 22 2 3" xfId="2589"/>
    <cellStyle name="Финансовый 4 22 2 3 2" xfId="6459"/>
    <cellStyle name="Финансовый 4 22 2 4" xfId="3342"/>
    <cellStyle name="Финансовый 4 22 2 4 2" xfId="8271"/>
    <cellStyle name="Финансовый 4 22 2 5" xfId="4083"/>
    <cellStyle name="Финансовый 4 22 2 6" xfId="4824"/>
    <cellStyle name="Финансовый 4 22 2 7" xfId="5565"/>
    <cellStyle name="Финансовый 4 22 3" xfId="1776"/>
    <cellStyle name="Финансовый 4 22 3 2" xfId="6423"/>
    <cellStyle name="Финансовый 4 22 4" xfId="2588"/>
    <cellStyle name="Финансовый 4 22 4 2" xfId="6920"/>
    <cellStyle name="Финансовый 4 22 5" xfId="3341"/>
    <cellStyle name="Финансовый 4 22 5 2" xfId="7442"/>
    <cellStyle name="Финансовый 4 22 6" xfId="4082"/>
    <cellStyle name="Финансовый 4 22 7" xfId="4823"/>
    <cellStyle name="Финансовый 4 22 8" xfId="5564"/>
    <cellStyle name="Финансовый 4 23" xfId="748"/>
    <cellStyle name="Финансовый 4 23 2" xfId="749"/>
    <cellStyle name="Финансовый 4 23 2 2" xfId="1779"/>
    <cellStyle name="Финансовый 4 23 2 2 2" xfId="6426"/>
    <cellStyle name="Финансовый 4 23 2 3" xfId="2591"/>
    <cellStyle name="Финансовый 4 23 2 3 2" xfId="6005"/>
    <cellStyle name="Финансовый 4 23 2 4" xfId="3344"/>
    <cellStyle name="Финансовый 4 23 2 4 2" xfId="7912"/>
    <cellStyle name="Финансовый 4 23 2 5" xfId="4085"/>
    <cellStyle name="Финансовый 4 23 2 6" xfId="4826"/>
    <cellStyle name="Финансовый 4 23 2 7" xfId="5567"/>
    <cellStyle name="Финансовый 4 23 3" xfId="1778"/>
    <cellStyle name="Финансовый 4 23 3 2" xfId="6425"/>
    <cellStyle name="Финансовый 4 23 4" xfId="2590"/>
    <cellStyle name="Финансовый 4 23 4 2" xfId="6919"/>
    <cellStyle name="Финансовый 4 23 5" xfId="3343"/>
    <cellStyle name="Финансовый 4 23 5 2" xfId="7911"/>
    <cellStyle name="Финансовый 4 23 6" xfId="4084"/>
    <cellStyle name="Финансовый 4 23 7" xfId="4825"/>
    <cellStyle name="Финансовый 4 23 8" xfId="5566"/>
    <cellStyle name="Финансовый 4 24" xfId="750"/>
    <cellStyle name="Финансовый 4 24 2" xfId="751"/>
    <cellStyle name="Финансовый 4 24 2 2" xfId="1781"/>
    <cellStyle name="Финансовый 4 24 2 2 2" xfId="6428"/>
    <cellStyle name="Финансовый 4 24 2 3" xfId="2593"/>
    <cellStyle name="Финансовый 4 24 2 3 2" xfId="6917"/>
    <cellStyle name="Финансовый 4 24 2 4" xfId="3346"/>
    <cellStyle name="Финансовый 4 24 2 4 2" xfId="7914"/>
    <cellStyle name="Финансовый 4 24 2 5" xfId="4087"/>
    <cellStyle name="Финансовый 4 24 2 6" xfId="4828"/>
    <cellStyle name="Финансовый 4 24 2 7" xfId="5569"/>
    <cellStyle name="Финансовый 4 24 3" xfId="1780"/>
    <cellStyle name="Финансовый 4 24 3 2" xfId="6427"/>
    <cellStyle name="Финансовый 4 24 4" xfId="2592"/>
    <cellStyle name="Финансовый 4 24 4 2" xfId="6918"/>
    <cellStyle name="Финансовый 4 24 5" xfId="3345"/>
    <cellStyle name="Финансовый 4 24 5 2" xfId="7913"/>
    <cellStyle name="Финансовый 4 24 6" xfId="4086"/>
    <cellStyle name="Финансовый 4 24 7" xfId="4827"/>
    <cellStyle name="Финансовый 4 24 8" xfId="5568"/>
    <cellStyle name="Финансовый 4 25" xfId="752"/>
    <cellStyle name="Финансовый 4 25 2" xfId="753"/>
    <cellStyle name="Финансовый 4 25 2 2" xfId="1783"/>
    <cellStyle name="Финансовый 4 25 2 2 2" xfId="6430"/>
    <cellStyle name="Финансовый 4 25 2 3" xfId="2595"/>
    <cellStyle name="Финансовый 4 25 2 3 2" xfId="6765"/>
    <cellStyle name="Финансовый 4 25 2 4" xfId="3348"/>
    <cellStyle name="Финансовый 4 25 2 4 2" xfId="7916"/>
    <cellStyle name="Финансовый 4 25 2 5" xfId="4089"/>
    <cellStyle name="Финансовый 4 25 2 6" xfId="4830"/>
    <cellStyle name="Финансовый 4 25 2 7" xfId="5571"/>
    <cellStyle name="Финансовый 4 25 3" xfId="1782"/>
    <cellStyle name="Финансовый 4 25 3 2" xfId="6429"/>
    <cellStyle name="Финансовый 4 25 4" xfId="2594"/>
    <cellStyle name="Финансовый 4 25 4 2" xfId="6377"/>
    <cellStyle name="Финансовый 4 25 5" xfId="3347"/>
    <cellStyle name="Финансовый 4 25 5 2" xfId="7915"/>
    <cellStyle name="Финансовый 4 25 6" xfId="4088"/>
    <cellStyle name="Финансовый 4 25 7" xfId="4829"/>
    <cellStyle name="Финансовый 4 25 8" xfId="5570"/>
    <cellStyle name="Финансовый 4 26" xfId="754"/>
    <cellStyle name="Финансовый 4 26 2" xfId="755"/>
    <cellStyle name="Финансовый 4 26 2 2" xfId="1785"/>
    <cellStyle name="Финансовый 4 26 2 2 2" xfId="6432"/>
    <cellStyle name="Финансовый 4 26 2 3" xfId="2597"/>
    <cellStyle name="Финансовый 4 26 2 3 2" xfId="7322"/>
    <cellStyle name="Финансовый 4 26 2 4" xfId="3350"/>
    <cellStyle name="Финансовый 4 26 2 4 2" xfId="7918"/>
    <cellStyle name="Финансовый 4 26 2 5" xfId="4091"/>
    <cellStyle name="Финансовый 4 26 2 6" xfId="4832"/>
    <cellStyle name="Финансовый 4 26 2 7" xfId="5573"/>
    <cellStyle name="Финансовый 4 26 3" xfId="1784"/>
    <cellStyle name="Финансовый 4 26 3 2" xfId="6431"/>
    <cellStyle name="Финансовый 4 26 4" xfId="2596"/>
    <cellStyle name="Финансовый 4 26 4 2" xfId="6378"/>
    <cellStyle name="Финансовый 4 26 5" xfId="3349"/>
    <cellStyle name="Финансовый 4 26 5 2" xfId="7917"/>
    <cellStyle name="Финансовый 4 26 6" xfId="4090"/>
    <cellStyle name="Финансовый 4 26 7" xfId="4831"/>
    <cellStyle name="Финансовый 4 26 8" xfId="5572"/>
    <cellStyle name="Финансовый 4 27" xfId="756"/>
    <cellStyle name="Финансовый 4 27 2" xfId="757"/>
    <cellStyle name="Финансовый 4 27 2 2" xfId="1787"/>
    <cellStyle name="Финансовый 4 27 2 3" xfId="7920"/>
    <cellStyle name="Финансовый 4 27 3" xfId="1786"/>
    <cellStyle name="Финансовый 4 27 4" xfId="7919"/>
    <cellStyle name="Финансовый 4 28" xfId="758"/>
    <cellStyle name="Финансовый 4 28 2" xfId="759"/>
    <cellStyle name="Финансовый 4 28 2 2" xfId="1789"/>
    <cellStyle name="Финансовый 4 28 2 2 2" xfId="6435"/>
    <cellStyle name="Финансовый 4 28 2 3" xfId="2599"/>
    <cellStyle name="Финансовый 4 28 2 3 2" xfId="7309"/>
    <cellStyle name="Финансовый 4 28 2 4" xfId="3352"/>
    <cellStyle name="Финансовый 4 28 2 4 2" xfId="7922"/>
    <cellStyle name="Финансовый 4 28 2 5" xfId="4093"/>
    <cellStyle name="Финансовый 4 28 2 6" xfId="4834"/>
    <cellStyle name="Финансовый 4 28 2 7" xfId="5575"/>
    <cellStyle name="Финансовый 4 28 3" xfId="1788"/>
    <cellStyle name="Финансовый 4 28 3 2" xfId="6434"/>
    <cellStyle name="Финансовый 4 28 4" xfId="2598"/>
    <cellStyle name="Финансовый 4 28 4 2" xfId="6939"/>
    <cellStyle name="Финансовый 4 28 5" xfId="3351"/>
    <cellStyle name="Финансовый 4 28 5 2" xfId="7921"/>
    <cellStyle name="Финансовый 4 28 6" xfId="4092"/>
    <cellStyle name="Финансовый 4 28 7" xfId="4833"/>
    <cellStyle name="Финансовый 4 28 8" xfId="5574"/>
    <cellStyle name="Финансовый 4 29" xfId="760"/>
    <cellStyle name="Финансовый 4 29 2" xfId="761"/>
    <cellStyle name="Финансовый 4 29 2 2" xfId="1791"/>
    <cellStyle name="Финансовый 4 29 2 2 2" xfId="6437"/>
    <cellStyle name="Финансовый 4 29 2 3" xfId="2601"/>
    <cellStyle name="Финансовый 4 29 2 3 2" xfId="6916"/>
    <cellStyle name="Финансовый 4 29 2 4" xfId="3354"/>
    <cellStyle name="Финансовый 4 29 2 4 2" xfId="7924"/>
    <cellStyle name="Финансовый 4 29 2 5" xfId="4095"/>
    <cellStyle name="Финансовый 4 29 2 6" xfId="4836"/>
    <cellStyle name="Финансовый 4 29 2 7" xfId="5577"/>
    <cellStyle name="Финансовый 4 29 3" xfId="1790"/>
    <cellStyle name="Финансовый 4 29 3 2" xfId="6436"/>
    <cellStyle name="Финансовый 4 29 4" xfId="2600"/>
    <cellStyle name="Финансовый 4 29 4 2" xfId="6643"/>
    <cellStyle name="Финансовый 4 29 5" xfId="3353"/>
    <cellStyle name="Финансовый 4 29 5 2" xfId="7923"/>
    <cellStyle name="Финансовый 4 29 6" xfId="4094"/>
    <cellStyle name="Финансовый 4 29 7" xfId="4835"/>
    <cellStyle name="Финансовый 4 29 8" xfId="5576"/>
    <cellStyle name="Финансовый 4 3" xfId="105"/>
    <cellStyle name="Финансовый 4 3 2" xfId="763"/>
    <cellStyle name="Финансовый 4 3 2 2" xfId="1793"/>
    <cellStyle name="Финансовый 4 3 2 2 2" xfId="6439"/>
    <cellStyle name="Финансовый 4 3 2 3" xfId="2603"/>
    <cellStyle name="Финансовый 4 3 2 3 2" xfId="6914"/>
    <cellStyle name="Финансовый 4 3 2 4" xfId="3356"/>
    <cellStyle name="Финансовый 4 3 2 4 2" xfId="7926"/>
    <cellStyle name="Финансовый 4 3 2 5" xfId="4097"/>
    <cellStyle name="Финансовый 4 3 2 6" xfId="4838"/>
    <cellStyle name="Финансовый 4 3 2 7" xfId="5579"/>
    <cellStyle name="Финансовый 4 3 3" xfId="762"/>
    <cellStyle name="Финансовый 4 3 3 2" xfId="1794"/>
    <cellStyle name="Финансовый 4 3 3 2 2" xfId="6831"/>
    <cellStyle name="Финансовый 4 3 3 3" xfId="2919"/>
    <cellStyle name="Финансовый 4 3 3 3 2" xfId="6913"/>
    <cellStyle name="Финансовый 4 3 3 4" xfId="3660"/>
    <cellStyle name="Финансовый 4 3 3 4 2" xfId="7927"/>
    <cellStyle name="Финансовый 4 3 3 5" xfId="4401"/>
    <cellStyle name="Финансовый 4 3 3 6" xfId="5142"/>
    <cellStyle name="Финансовый 4 3 3 7" xfId="5883"/>
    <cellStyle name="Финансовый 4 3 4" xfId="1792"/>
    <cellStyle name="Финансовый 4 3 4 2" xfId="6438"/>
    <cellStyle name="Финансовый 4 3 5" xfId="2602"/>
    <cellStyle name="Финансовый 4 3 5 2" xfId="6915"/>
    <cellStyle name="Финансовый 4 3 6" xfId="3355"/>
    <cellStyle name="Финансовый 4 3 6 2" xfId="7925"/>
    <cellStyle name="Финансовый 4 3 7" xfId="4096"/>
    <cellStyle name="Финансовый 4 3 8" xfId="4837"/>
    <cellStyle name="Финансовый 4 3 9" xfId="5578"/>
    <cellStyle name="Финансовый 4 30" xfId="764"/>
    <cellStyle name="Финансовый 4 30 2" xfId="765"/>
    <cellStyle name="Финансовый 4 30 2 2" xfId="1796"/>
    <cellStyle name="Финансовый 4 30 2 2 2" xfId="6441"/>
    <cellStyle name="Финансовый 4 30 2 3" xfId="2605"/>
    <cellStyle name="Финансовый 4 30 2 3 2" xfId="6911"/>
    <cellStyle name="Финансовый 4 30 2 4" xfId="3358"/>
    <cellStyle name="Финансовый 4 30 2 4 2" xfId="7929"/>
    <cellStyle name="Финансовый 4 30 2 5" xfId="4099"/>
    <cellStyle name="Финансовый 4 30 2 6" xfId="4840"/>
    <cellStyle name="Финансовый 4 30 2 7" xfId="5581"/>
    <cellStyle name="Финансовый 4 30 3" xfId="1795"/>
    <cellStyle name="Финансовый 4 30 3 2" xfId="6440"/>
    <cellStyle name="Финансовый 4 30 4" xfId="2604"/>
    <cellStyle name="Финансовый 4 30 4 2" xfId="6912"/>
    <cellStyle name="Финансовый 4 30 5" xfId="3357"/>
    <cellStyle name="Финансовый 4 30 5 2" xfId="7928"/>
    <cellStyle name="Финансовый 4 30 6" xfId="4098"/>
    <cellStyle name="Финансовый 4 30 7" xfId="4839"/>
    <cellStyle name="Финансовый 4 30 8" xfId="5580"/>
    <cellStyle name="Финансовый 4 31" xfId="766"/>
    <cellStyle name="Финансовый 4 31 2" xfId="767"/>
    <cellStyle name="Финансовый 4 31 2 2" xfId="1798"/>
    <cellStyle name="Финансовый 4 31 2 2 2" xfId="6443"/>
    <cellStyle name="Финансовый 4 31 2 3" xfId="2607"/>
    <cellStyle name="Финансовый 4 31 2 3 2" xfId="7279"/>
    <cellStyle name="Финансовый 4 31 2 4" xfId="3360"/>
    <cellStyle name="Финансовый 4 31 2 4 2" xfId="7931"/>
    <cellStyle name="Финансовый 4 31 2 5" xfId="4101"/>
    <cellStyle name="Финансовый 4 31 2 6" xfId="4842"/>
    <cellStyle name="Финансовый 4 31 2 7" xfId="5583"/>
    <cellStyle name="Финансовый 4 31 3" xfId="1797"/>
    <cellStyle name="Финансовый 4 31 3 2" xfId="6442"/>
    <cellStyle name="Финансовый 4 31 4" xfId="2606"/>
    <cellStyle name="Финансовый 4 31 4 2" xfId="6910"/>
    <cellStyle name="Финансовый 4 31 5" xfId="3359"/>
    <cellStyle name="Финансовый 4 31 5 2" xfId="7930"/>
    <cellStyle name="Финансовый 4 31 6" xfId="4100"/>
    <cellStyle name="Финансовый 4 31 7" xfId="4841"/>
    <cellStyle name="Финансовый 4 31 8" xfId="5582"/>
    <cellStyle name="Финансовый 4 32" xfId="768"/>
    <cellStyle name="Финансовый 4 32 2" xfId="769"/>
    <cellStyle name="Финансовый 4 32 2 2" xfId="1800"/>
    <cellStyle name="Финансовый 4 32 2 2 2" xfId="6445"/>
    <cellStyle name="Финансовый 4 32 2 3" xfId="2609"/>
    <cellStyle name="Финансовый 4 32 2 3 2" xfId="6908"/>
    <cellStyle name="Финансовый 4 32 2 4" xfId="3362"/>
    <cellStyle name="Финансовый 4 32 2 4 2" xfId="7933"/>
    <cellStyle name="Финансовый 4 32 2 5" xfId="4103"/>
    <cellStyle name="Финансовый 4 32 2 6" xfId="4844"/>
    <cellStyle name="Финансовый 4 32 2 7" xfId="5585"/>
    <cellStyle name="Финансовый 4 32 3" xfId="1799"/>
    <cellStyle name="Финансовый 4 32 3 2" xfId="6444"/>
    <cellStyle name="Финансовый 4 32 4" xfId="2608"/>
    <cellStyle name="Финансовый 4 32 4 2" xfId="6909"/>
    <cellStyle name="Финансовый 4 32 5" xfId="3361"/>
    <cellStyle name="Финансовый 4 32 5 2" xfId="7932"/>
    <cellStyle name="Финансовый 4 32 6" xfId="4102"/>
    <cellStyle name="Финансовый 4 32 7" xfId="4843"/>
    <cellStyle name="Финансовый 4 32 8" xfId="5584"/>
    <cellStyle name="Финансовый 4 33" xfId="770"/>
    <cellStyle name="Финансовый 4 33 2" xfId="771"/>
    <cellStyle name="Финансовый 4 33 2 2" xfId="1802"/>
    <cellStyle name="Финансовый 4 33 2 2 2" xfId="6447"/>
    <cellStyle name="Финансовый 4 33 2 3" xfId="2611"/>
    <cellStyle name="Финансовый 4 33 2 3 2" xfId="6907"/>
    <cellStyle name="Финансовый 4 33 2 4" xfId="3364"/>
    <cellStyle name="Финансовый 4 33 2 4 2" xfId="7935"/>
    <cellStyle name="Финансовый 4 33 2 5" xfId="4105"/>
    <cellStyle name="Финансовый 4 33 2 6" xfId="4846"/>
    <cellStyle name="Финансовый 4 33 2 7" xfId="5587"/>
    <cellStyle name="Финансовый 4 33 3" xfId="1801"/>
    <cellStyle name="Финансовый 4 33 3 2" xfId="6446"/>
    <cellStyle name="Финансовый 4 33 4" xfId="2610"/>
    <cellStyle name="Финансовый 4 33 4 2" xfId="6396"/>
    <cellStyle name="Финансовый 4 33 5" xfId="3363"/>
    <cellStyle name="Финансовый 4 33 5 2" xfId="7934"/>
    <cellStyle name="Финансовый 4 33 6" xfId="4104"/>
    <cellStyle name="Финансовый 4 33 7" xfId="4845"/>
    <cellStyle name="Финансовый 4 33 8" xfId="5586"/>
    <cellStyle name="Финансовый 4 34" xfId="772"/>
    <cellStyle name="Финансовый 4 34 2" xfId="773"/>
    <cellStyle name="Финансовый 4 34 2 2" xfId="1804"/>
    <cellStyle name="Финансовый 4 34 2 2 2" xfId="6449"/>
    <cellStyle name="Финансовый 4 34 2 3" xfId="2613"/>
    <cellStyle name="Финансовый 4 34 2 3 2" xfId="6674"/>
    <cellStyle name="Финансовый 4 34 2 4" xfId="3366"/>
    <cellStyle name="Финансовый 4 34 2 4 2" xfId="8288"/>
    <cellStyle name="Финансовый 4 34 2 5" xfId="4107"/>
    <cellStyle name="Финансовый 4 34 2 6" xfId="4848"/>
    <cellStyle name="Финансовый 4 34 2 7" xfId="5589"/>
    <cellStyle name="Финансовый 4 34 3" xfId="1803"/>
    <cellStyle name="Финансовый 4 34 3 2" xfId="6448"/>
    <cellStyle name="Финансовый 4 34 4" xfId="2612"/>
    <cellStyle name="Финансовый 4 34 4 2" xfId="6637"/>
    <cellStyle name="Финансовый 4 34 5" xfId="3365"/>
    <cellStyle name="Финансовый 4 34 5 2" xfId="8278"/>
    <cellStyle name="Финансовый 4 34 6" xfId="4106"/>
    <cellStyle name="Финансовый 4 34 7" xfId="4847"/>
    <cellStyle name="Финансовый 4 34 8" xfId="5588"/>
    <cellStyle name="Финансовый 4 35" xfId="774"/>
    <cellStyle name="Финансовый 4 35 2" xfId="775"/>
    <cellStyle name="Финансовый 4 35 2 2" xfId="1806"/>
    <cellStyle name="Финансовый 4 35 2 2 2" xfId="6451"/>
    <cellStyle name="Финансовый 4 35 2 3" xfId="2615"/>
    <cellStyle name="Финансовый 4 35 2 3 2" xfId="6906"/>
    <cellStyle name="Финансовый 4 35 2 4" xfId="3368"/>
    <cellStyle name="Финансовый 4 35 2 4 2" xfId="7936"/>
    <cellStyle name="Финансовый 4 35 2 5" xfId="4109"/>
    <cellStyle name="Финансовый 4 35 2 6" xfId="4850"/>
    <cellStyle name="Финансовый 4 35 2 7" xfId="5591"/>
    <cellStyle name="Финансовый 4 35 3" xfId="1805"/>
    <cellStyle name="Финансовый 4 35 3 2" xfId="6450"/>
    <cellStyle name="Финансовый 4 35 4" xfId="2614"/>
    <cellStyle name="Финансовый 4 35 4 2" xfId="6710"/>
    <cellStyle name="Финансовый 4 35 5" xfId="3367"/>
    <cellStyle name="Финансовый 4 35 5 2" xfId="8300"/>
    <cellStyle name="Финансовый 4 35 6" xfId="4108"/>
    <cellStyle name="Финансовый 4 35 7" xfId="4849"/>
    <cellStyle name="Финансовый 4 35 8" xfId="5590"/>
    <cellStyle name="Финансовый 4 36" xfId="776"/>
    <cellStyle name="Финансовый 4 36 2" xfId="777"/>
    <cellStyle name="Финансовый 4 36 2 2" xfId="1808"/>
    <cellStyle name="Финансовый 4 36 2 3" xfId="7431"/>
    <cellStyle name="Финансовый 4 36 3" xfId="1807"/>
    <cellStyle name="Финансовый 4 36 4" xfId="7937"/>
    <cellStyle name="Финансовый 4 37" xfId="778"/>
    <cellStyle name="Финансовый 4 37 2" xfId="779"/>
    <cellStyle name="Финансовый 4 37 2 2" xfId="1810"/>
    <cellStyle name="Финансовый 4 37 2 2 2" xfId="6453"/>
    <cellStyle name="Финансовый 4 37 2 3" xfId="2617"/>
    <cellStyle name="Финансовый 4 37 2 3 2" xfId="6905"/>
    <cellStyle name="Финансовый 4 37 2 4" xfId="3370"/>
    <cellStyle name="Финансовый 4 37 2 4 2" xfId="7938"/>
    <cellStyle name="Финансовый 4 37 2 5" xfId="4111"/>
    <cellStyle name="Финансовый 4 37 2 6" xfId="4852"/>
    <cellStyle name="Финансовый 4 37 2 7" xfId="5593"/>
    <cellStyle name="Финансовый 4 37 3" xfId="1809"/>
    <cellStyle name="Финансовый 4 37 3 2" xfId="6452"/>
    <cellStyle name="Финансовый 4 37 4" xfId="2616"/>
    <cellStyle name="Финансовый 4 37 4 2" xfId="6938"/>
    <cellStyle name="Финансовый 4 37 5" xfId="3369"/>
    <cellStyle name="Финансовый 4 37 5 2" xfId="7862"/>
    <cellStyle name="Финансовый 4 37 6" xfId="4110"/>
    <cellStyle name="Финансовый 4 37 7" xfId="4851"/>
    <cellStyle name="Финансовый 4 37 8" xfId="5592"/>
    <cellStyle name="Финансовый 4 38" xfId="780"/>
    <cellStyle name="Финансовый 4 38 2" xfId="781"/>
    <cellStyle name="Финансовый 4 38 2 2" xfId="1812"/>
    <cellStyle name="Финансовый 4 38 2 2 2" xfId="6455"/>
    <cellStyle name="Финансовый 4 38 2 3" xfId="2619"/>
    <cellStyle name="Финансовый 4 38 2 3 2" xfId="6904"/>
    <cellStyle name="Финансовый 4 38 2 4" xfId="3372"/>
    <cellStyle name="Финансовый 4 38 2 4 2" xfId="7940"/>
    <cellStyle name="Финансовый 4 38 2 5" xfId="4113"/>
    <cellStyle name="Финансовый 4 38 2 6" xfId="4854"/>
    <cellStyle name="Финансовый 4 38 2 7" xfId="5595"/>
    <cellStyle name="Финансовый 4 38 3" xfId="1811"/>
    <cellStyle name="Финансовый 4 38 3 2" xfId="6454"/>
    <cellStyle name="Финансовый 4 38 4" xfId="2618"/>
    <cellStyle name="Финансовый 4 38 4 2" xfId="7197"/>
    <cellStyle name="Финансовый 4 38 5" xfId="3371"/>
    <cellStyle name="Финансовый 4 38 5 2" xfId="7939"/>
    <cellStyle name="Финансовый 4 38 6" xfId="4112"/>
    <cellStyle name="Финансовый 4 38 7" xfId="4853"/>
    <cellStyle name="Финансовый 4 38 8" xfId="5594"/>
    <cellStyle name="Финансовый 4 39" xfId="782"/>
    <cellStyle name="Финансовый 4 39 2" xfId="783"/>
    <cellStyle name="Финансовый 4 39 2 2" xfId="1814"/>
    <cellStyle name="Финансовый 4 39 2 2 2" xfId="6457"/>
    <cellStyle name="Финансовый 4 39 2 3" xfId="2621"/>
    <cellStyle name="Финансовый 4 39 2 3 2" xfId="6903"/>
    <cellStyle name="Финансовый 4 39 2 4" xfId="3374"/>
    <cellStyle name="Финансовый 4 39 2 4 2" xfId="7942"/>
    <cellStyle name="Финансовый 4 39 2 5" xfId="4115"/>
    <cellStyle name="Финансовый 4 39 2 6" xfId="4856"/>
    <cellStyle name="Финансовый 4 39 2 7" xfId="5597"/>
    <cellStyle name="Финансовый 4 39 3" xfId="1813"/>
    <cellStyle name="Финансовый 4 39 3 2" xfId="6456"/>
    <cellStyle name="Финансовый 4 39 4" xfId="2620"/>
    <cellStyle name="Финансовый 4 39 4 2" xfId="7332"/>
    <cellStyle name="Финансовый 4 39 5" xfId="3373"/>
    <cellStyle name="Финансовый 4 39 5 2" xfId="7941"/>
    <cellStyle name="Финансовый 4 39 6" xfId="4114"/>
    <cellStyle name="Финансовый 4 39 7" xfId="4855"/>
    <cellStyle name="Финансовый 4 39 8" xfId="5596"/>
    <cellStyle name="Финансовый 4 4" xfId="111"/>
    <cellStyle name="Финансовый 4 4 2" xfId="785"/>
    <cellStyle name="Финансовый 4 4 2 2" xfId="1816"/>
    <cellStyle name="Финансовый 4 4 2 3" xfId="7944"/>
    <cellStyle name="Финансовый 4 4 3" xfId="784"/>
    <cellStyle name="Финансовый 4 4 3 2" xfId="6902"/>
    <cellStyle name="Финансовый 4 4 4" xfId="1815"/>
    <cellStyle name="Финансовый 4 4 4 2" xfId="7943"/>
    <cellStyle name="Финансовый 4 40" xfId="786"/>
    <cellStyle name="Финансовый 4 40 2" xfId="787"/>
    <cellStyle name="Финансовый 4 40 2 2" xfId="1818"/>
    <cellStyle name="Финансовый 4 40 2 2 2" xfId="6461"/>
    <cellStyle name="Финансовый 4 40 2 3" xfId="2623"/>
    <cellStyle name="Финансовый 4 40 2 3 2" xfId="6900"/>
    <cellStyle name="Финансовый 4 40 2 4" xfId="3376"/>
    <cellStyle name="Финансовый 4 40 2 4 2" xfId="7384"/>
    <cellStyle name="Финансовый 4 40 2 5" xfId="4117"/>
    <cellStyle name="Финансовый 4 40 2 6" xfId="4858"/>
    <cellStyle name="Финансовый 4 40 2 7" xfId="5599"/>
    <cellStyle name="Финансовый 4 40 3" xfId="1817"/>
    <cellStyle name="Финансовый 4 40 3 2" xfId="6460"/>
    <cellStyle name="Финансовый 4 40 4" xfId="2622"/>
    <cellStyle name="Финансовый 4 40 4 2" xfId="6901"/>
    <cellStyle name="Финансовый 4 40 5" xfId="3375"/>
    <cellStyle name="Финансовый 4 40 5 2" xfId="7945"/>
    <cellStyle name="Финансовый 4 40 6" xfId="4116"/>
    <cellStyle name="Финансовый 4 40 7" xfId="4857"/>
    <cellStyle name="Финансовый 4 40 8" xfId="5598"/>
    <cellStyle name="Финансовый 4 41" xfId="788"/>
    <cellStyle name="Финансовый 4 41 2" xfId="1819"/>
    <cellStyle name="Финансовый 4 41 2 2" xfId="6462"/>
    <cellStyle name="Финансовый 4 41 3" xfId="2624"/>
    <cellStyle name="Финансовый 4 41 3 2" xfId="7277"/>
    <cellStyle name="Финансовый 4 41 4" xfId="3377"/>
    <cellStyle name="Финансовый 4 41 4 2" xfId="7947"/>
    <cellStyle name="Финансовый 4 41 5" xfId="4118"/>
    <cellStyle name="Финансовый 4 41 6" xfId="4859"/>
    <cellStyle name="Финансовый 4 41 7" xfId="5600"/>
    <cellStyle name="Финансовый 4 42" xfId="789"/>
    <cellStyle name="Финансовый 4 42 2" xfId="1820"/>
    <cellStyle name="Финансовый 4 42 2 2" xfId="6463"/>
    <cellStyle name="Финансовый 4 42 3" xfId="2625"/>
    <cellStyle name="Финансовый 4 42 3 2" xfId="6898"/>
    <cellStyle name="Финансовый 4 42 4" xfId="3378"/>
    <cellStyle name="Финансовый 4 42 4 2" xfId="7948"/>
    <cellStyle name="Финансовый 4 42 5" xfId="4119"/>
    <cellStyle name="Финансовый 4 42 6" xfId="4860"/>
    <cellStyle name="Финансовый 4 42 7" xfId="5601"/>
    <cellStyle name="Финансовый 4 43" xfId="720"/>
    <cellStyle name="Финансовый 4 43 2" xfId="1821"/>
    <cellStyle name="Финансовый 4 43 2 2" xfId="6464"/>
    <cellStyle name="Финансовый 4 43 3" xfId="2626"/>
    <cellStyle name="Финансовый 4 43 3 2" xfId="6897"/>
    <cellStyle name="Финансовый 4 43 4" xfId="3379"/>
    <cellStyle name="Финансовый 4 43 4 2" xfId="7949"/>
    <cellStyle name="Финансовый 4 43 5" xfId="4120"/>
    <cellStyle name="Финансовый 4 43 6" xfId="4861"/>
    <cellStyle name="Финансовый 4 43 7" xfId="5602"/>
    <cellStyle name="Финансовый 4 44" xfId="1822"/>
    <cellStyle name="Финансовый 4 44 2" xfId="2627"/>
    <cellStyle name="Финансовый 4 44 2 2" xfId="6465"/>
    <cellStyle name="Финансовый 4 44 3" xfId="3380"/>
    <cellStyle name="Финансовый 4 44 3 2" xfId="6896"/>
    <cellStyle name="Финансовый 4 44 4" xfId="4121"/>
    <cellStyle name="Финансовый 4 44 4 2" xfId="7950"/>
    <cellStyle name="Финансовый 4 44 5" xfId="4862"/>
    <cellStyle name="Финансовый 4 44 6" xfId="5603"/>
    <cellStyle name="Финансовый 4 45" xfId="1823"/>
    <cellStyle name="Финансовый 4 45 2" xfId="2628"/>
    <cellStyle name="Финансовый 4 45 2 2" xfId="6466"/>
    <cellStyle name="Финансовый 4 45 3" xfId="3381"/>
    <cellStyle name="Финансовый 4 45 3 2" xfId="7257"/>
    <cellStyle name="Финансовый 4 45 4" xfId="4122"/>
    <cellStyle name="Финансовый 4 45 4 2" xfId="7951"/>
    <cellStyle name="Финансовый 4 45 5" xfId="4863"/>
    <cellStyle name="Финансовый 4 45 6" xfId="5604"/>
    <cellStyle name="Финансовый 4 46" xfId="1824"/>
    <cellStyle name="Финансовый 4 46 2" xfId="2629"/>
    <cellStyle name="Финансовый 4 46 2 2" xfId="6467"/>
    <cellStyle name="Финансовый 4 46 3" xfId="3382"/>
    <cellStyle name="Финансовый 4 46 3 2" xfId="7203"/>
    <cellStyle name="Финансовый 4 46 4" xfId="4123"/>
    <cellStyle name="Финансовый 4 46 4 2" xfId="7952"/>
    <cellStyle name="Финансовый 4 46 5" xfId="4864"/>
    <cellStyle name="Финансовый 4 46 6" xfId="5605"/>
    <cellStyle name="Финансовый 4 47" xfId="1825"/>
    <cellStyle name="Финансовый 4 47 2" xfId="2883"/>
    <cellStyle name="Финансовый 4 47 2 2" xfId="6795"/>
    <cellStyle name="Финансовый 4 47 3" xfId="3624"/>
    <cellStyle name="Финансовый 4 47 3 2" xfId="6895"/>
    <cellStyle name="Финансовый 4 47 4" xfId="4365"/>
    <cellStyle name="Финансовый 4 47 4 2" xfId="7953"/>
    <cellStyle name="Финансовый 4 47 5" xfId="5106"/>
    <cellStyle name="Финансовый 4 47 6" xfId="5847"/>
    <cellStyle name="Финансовый 4 48" xfId="1826"/>
    <cellStyle name="Финансовый 4 48 2" xfId="2895"/>
    <cellStyle name="Финансовый 4 48 2 2" xfId="6807"/>
    <cellStyle name="Финансовый 4 48 3" xfId="3636"/>
    <cellStyle name="Финансовый 4 48 3 2" xfId="6894"/>
    <cellStyle name="Финансовый 4 48 4" xfId="4377"/>
    <cellStyle name="Финансовый 4 48 4 2" xfId="7954"/>
    <cellStyle name="Финансовый 4 48 5" xfId="5118"/>
    <cellStyle name="Финансовый 4 48 6" xfId="5859"/>
    <cellStyle name="Финансовый 4 49" xfId="1827"/>
    <cellStyle name="Финансовый 4 49 2" xfId="2907"/>
    <cellStyle name="Финансовый 4 49 2 2" xfId="6819"/>
    <cellStyle name="Финансовый 4 49 3" xfId="3648"/>
    <cellStyle name="Финансовый 4 49 3 2" xfId="6893"/>
    <cellStyle name="Финансовый 4 49 4" xfId="4389"/>
    <cellStyle name="Финансовый 4 49 4 2" xfId="7955"/>
    <cellStyle name="Финансовый 4 49 5" xfId="5130"/>
    <cellStyle name="Финансовый 4 49 6" xfId="5871"/>
    <cellStyle name="Финансовый 4 5" xfId="128"/>
    <cellStyle name="Финансовый 4 5 2" xfId="791"/>
    <cellStyle name="Финансовый 4 5 2 2" xfId="1829"/>
    <cellStyle name="Финансовый 4 5 2 2 2" xfId="6469"/>
    <cellStyle name="Финансовый 4 5 2 3" xfId="2631"/>
    <cellStyle name="Финансовый 4 5 2 3 2" xfId="6892"/>
    <cellStyle name="Финансовый 4 5 2 4" xfId="3384"/>
    <cellStyle name="Финансовый 4 5 2 4 2" xfId="7957"/>
    <cellStyle name="Финансовый 4 5 2 5" xfId="4125"/>
    <cellStyle name="Финансовый 4 5 2 6" xfId="4866"/>
    <cellStyle name="Финансовый 4 5 2 7" xfId="5607"/>
    <cellStyle name="Финансовый 4 5 3" xfId="790"/>
    <cellStyle name="Финансовый 4 5 3 2" xfId="6468"/>
    <cellStyle name="Финансовый 4 5 4" xfId="1828"/>
    <cellStyle name="Финансовый 4 5 5" xfId="2630"/>
    <cellStyle name="Финансовый 4 5 5 2" xfId="7956"/>
    <cellStyle name="Финансовый 4 5 6" xfId="3383"/>
    <cellStyle name="Финансовый 4 5 7" xfId="4124"/>
    <cellStyle name="Финансовый 4 5 8" xfId="4865"/>
    <cellStyle name="Финансовый 4 5 9" xfId="5606"/>
    <cellStyle name="Финансовый 4 50" xfId="1830"/>
    <cellStyle name="Финансовый 4 50 2" xfId="2564"/>
    <cellStyle name="Финансовый 4 50 2 2" xfId="6398"/>
    <cellStyle name="Финансовый 4 50 3" xfId="3317"/>
    <cellStyle name="Финансовый 4 50 3 2" xfId="7329"/>
    <cellStyle name="Финансовый 4 50 4" xfId="4058"/>
    <cellStyle name="Финансовый 4 50 4 2" xfId="7958"/>
    <cellStyle name="Финансовый 4 50 5" xfId="4799"/>
    <cellStyle name="Финансовый 4 50 6" xfId="5540"/>
    <cellStyle name="Финансовый 4 51" xfId="1748"/>
    <cellStyle name="Финансовый 4 51 2" xfId="5933"/>
    <cellStyle name="Финансовый 4 52" xfId="2207"/>
    <cellStyle name="Финансовый 4 52 2" xfId="6728"/>
    <cellStyle name="Финансовый 4 53" xfId="2956"/>
    <cellStyle name="Финансовый 4 53 2" xfId="7887"/>
    <cellStyle name="Финансовый 4 54" xfId="3697"/>
    <cellStyle name="Финансовый 4 55" xfId="4438"/>
    <cellStyle name="Финансовый 4 56" xfId="5184"/>
    <cellStyle name="Финансовый 4 6" xfId="120"/>
    <cellStyle name="Финансовый 4 6 2" xfId="793"/>
    <cellStyle name="Финансовый 4 6 2 2" xfId="1832"/>
    <cellStyle name="Финансовый 4 6 2 3" xfId="7959"/>
    <cellStyle name="Финансовый 4 6 3" xfId="792"/>
    <cellStyle name="Финансовый 4 6 3 2" xfId="6891"/>
    <cellStyle name="Финансовый 4 6 4" xfId="1831"/>
    <cellStyle name="Финансовый 4 6 4 2" xfId="7426"/>
    <cellStyle name="Финансовый 4 7" xfId="157"/>
    <cellStyle name="Финансовый 4 7 2" xfId="795"/>
    <cellStyle name="Финансовый 4 7 2 2" xfId="1834"/>
    <cellStyle name="Финансовый 4 7 2 2 2" xfId="6472"/>
    <cellStyle name="Финансовый 4 7 2 3" xfId="2633"/>
    <cellStyle name="Финансовый 4 7 2 3 2" xfId="6184"/>
    <cellStyle name="Финансовый 4 7 2 4" xfId="3386"/>
    <cellStyle name="Финансовый 4 7 2 4 2" xfId="7961"/>
    <cellStyle name="Финансовый 4 7 2 5" xfId="4127"/>
    <cellStyle name="Финансовый 4 7 2 6" xfId="4868"/>
    <cellStyle name="Финансовый 4 7 2 7" xfId="5609"/>
    <cellStyle name="Финансовый 4 7 3" xfId="794"/>
    <cellStyle name="Финансовый 4 7 3 2" xfId="6471"/>
    <cellStyle name="Финансовый 4 7 4" xfId="1833"/>
    <cellStyle name="Финансовый 4 7 5" xfId="2632"/>
    <cellStyle name="Финансовый 4 7 5 2" xfId="7960"/>
    <cellStyle name="Финансовый 4 7 6" xfId="3385"/>
    <cellStyle name="Финансовый 4 7 7" xfId="4126"/>
    <cellStyle name="Финансовый 4 7 8" xfId="4867"/>
    <cellStyle name="Финансовый 4 7 9" xfId="5608"/>
    <cellStyle name="Финансовый 4 8" xfId="172"/>
    <cellStyle name="Финансовый 4 8 2" xfId="797"/>
    <cellStyle name="Финансовый 4 8 2 2" xfId="1836"/>
    <cellStyle name="Финансовый 4 8 2 2 2" xfId="6474"/>
    <cellStyle name="Финансовый 4 8 2 3" xfId="2635"/>
    <cellStyle name="Финансовый 4 8 2 3 2" xfId="6353"/>
    <cellStyle name="Финансовый 4 8 2 4" xfId="3388"/>
    <cellStyle name="Финансовый 4 8 2 4 2" xfId="7963"/>
    <cellStyle name="Финансовый 4 8 2 5" xfId="4129"/>
    <cellStyle name="Финансовый 4 8 2 6" xfId="4870"/>
    <cellStyle name="Финансовый 4 8 2 7" xfId="5611"/>
    <cellStyle name="Финансовый 4 8 3" xfId="796"/>
    <cellStyle name="Финансовый 4 8 3 2" xfId="6473"/>
    <cellStyle name="Финансовый 4 8 4" xfId="1835"/>
    <cellStyle name="Финансовый 4 8 5" xfId="2634"/>
    <cellStyle name="Финансовый 4 8 5 2" xfId="7962"/>
    <cellStyle name="Финансовый 4 8 6" xfId="3387"/>
    <cellStyle name="Финансовый 4 8 7" xfId="4128"/>
    <cellStyle name="Финансовый 4 8 8" xfId="4869"/>
    <cellStyle name="Финансовый 4 8 9" xfId="5610"/>
    <cellStyle name="Финансовый 4 9" xfId="181"/>
    <cellStyle name="Финансовый 4 9 2" xfId="799"/>
    <cellStyle name="Финансовый 4 9 2 2" xfId="1838"/>
    <cellStyle name="Финансовый 4 9 2 3" xfId="7965"/>
    <cellStyle name="Финансовый 4 9 3" xfId="798"/>
    <cellStyle name="Финансовый 4 9 3 2" xfId="7217"/>
    <cellStyle name="Финансовый 4 9 4" xfId="1837"/>
    <cellStyle name="Финансовый 4 9 4 2" xfId="7964"/>
    <cellStyle name="Финансовый 5" xfId="64"/>
    <cellStyle name="Финансовый 5 10" xfId="195"/>
    <cellStyle name="Финансовый 5 10 2" xfId="802"/>
    <cellStyle name="Финансовый 5 10 2 2" xfId="1841"/>
    <cellStyle name="Финансовый 5 10 2 2 2" xfId="6479"/>
    <cellStyle name="Финансовый 5 10 2 3" xfId="2638"/>
    <cellStyle name="Финансовый 5 10 2 3 2" xfId="6889"/>
    <cellStyle name="Финансовый 5 10 2 4" xfId="3391"/>
    <cellStyle name="Финансовый 5 10 2 4 2" xfId="7968"/>
    <cellStyle name="Финансовый 5 10 2 5" xfId="4132"/>
    <cellStyle name="Финансовый 5 10 2 6" xfId="4873"/>
    <cellStyle name="Финансовый 5 10 2 7" xfId="5614"/>
    <cellStyle name="Финансовый 5 10 3" xfId="801"/>
    <cellStyle name="Финансовый 5 10 3 2" xfId="6478"/>
    <cellStyle name="Финансовый 5 10 4" xfId="1840"/>
    <cellStyle name="Финансовый 5 10 5" xfId="2637"/>
    <cellStyle name="Финансовый 5 10 5 2" xfId="7967"/>
    <cellStyle name="Финансовый 5 10 6" xfId="3390"/>
    <cellStyle name="Финансовый 5 10 7" xfId="4131"/>
    <cellStyle name="Финансовый 5 10 8" xfId="4872"/>
    <cellStyle name="Финансовый 5 10 9" xfId="5613"/>
    <cellStyle name="Финансовый 5 11" xfId="209"/>
    <cellStyle name="Финансовый 5 11 2" xfId="804"/>
    <cellStyle name="Финансовый 5 11 2 2" xfId="1843"/>
    <cellStyle name="Финансовый 5 11 2 2 2" xfId="6481"/>
    <cellStyle name="Финансовый 5 11 2 3" xfId="2640"/>
    <cellStyle name="Финансовый 5 11 2 3 2" xfId="6486"/>
    <cellStyle name="Финансовый 5 11 2 4" xfId="3393"/>
    <cellStyle name="Финансовый 5 11 2 4 2" xfId="7969"/>
    <cellStyle name="Финансовый 5 11 2 5" xfId="4134"/>
    <cellStyle name="Финансовый 5 11 2 6" xfId="4875"/>
    <cellStyle name="Финансовый 5 11 2 7" xfId="5616"/>
    <cellStyle name="Финансовый 5 11 3" xfId="803"/>
    <cellStyle name="Финансовый 5 11 3 2" xfId="6480"/>
    <cellStyle name="Финансовый 5 11 4" xfId="1842"/>
    <cellStyle name="Финансовый 5 11 5" xfId="2639"/>
    <cellStyle name="Финансовый 5 11 5 2" xfId="8321"/>
    <cellStyle name="Финансовый 5 11 6" xfId="3392"/>
    <cellStyle name="Финансовый 5 11 7" xfId="4133"/>
    <cellStyle name="Финансовый 5 11 8" xfId="4874"/>
    <cellStyle name="Финансовый 5 11 9" xfId="5615"/>
    <cellStyle name="Финансовый 5 12" xfId="224"/>
    <cellStyle name="Финансовый 5 12 2" xfId="806"/>
    <cellStyle name="Финансовый 5 12 2 2" xfId="1845"/>
    <cellStyle name="Финансовый 5 12 2 3" xfId="7971"/>
    <cellStyle name="Финансовый 5 12 3" xfId="805"/>
    <cellStyle name="Финансовый 5 12 3 2" xfId="5949"/>
    <cellStyle name="Финансовый 5 12 4" xfId="1844"/>
    <cellStyle name="Финансовый 5 12 4 2" xfId="7970"/>
    <cellStyle name="Финансовый 5 13" xfId="237"/>
    <cellStyle name="Финансовый 5 13 2" xfId="808"/>
    <cellStyle name="Финансовый 5 13 2 2" xfId="1847"/>
    <cellStyle name="Финансовый 5 13 2 2 2" xfId="6485"/>
    <cellStyle name="Финансовый 5 13 2 3" xfId="2642"/>
    <cellStyle name="Финансовый 5 13 2 3 2" xfId="6888"/>
    <cellStyle name="Финансовый 5 13 2 4" xfId="3395"/>
    <cellStyle name="Финансовый 5 13 2 4 2" xfId="7973"/>
    <cellStyle name="Финансовый 5 13 2 5" xfId="4136"/>
    <cellStyle name="Финансовый 5 13 2 6" xfId="4877"/>
    <cellStyle name="Финансовый 5 13 2 7" xfId="5618"/>
    <cellStyle name="Финансовый 5 13 3" xfId="807"/>
    <cellStyle name="Финансовый 5 13 3 2" xfId="6484"/>
    <cellStyle name="Финансовый 5 13 4" xfId="1846"/>
    <cellStyle name="Финансовый 5 13 5" xfId="2641"/>
    <cellStyle name="Финансовый 5 13 5 2" xfId="7972"/>
    <cellStyle name="Финансовый 5 13 6" xfId="3394"/>
    <cellStyle name="Финансовый 5 13 7" xfId="4135"/>
    <cellStyle name="Финансовый 5 13 8" xfId="4876"/>
    <cellStyle name="Финансовый 5 13 9" xfId="5617"/>
    <cellStyle name="Финансовый 5 14" xfId="809"/>
    <cellStyle name="Финансовый 5 14 2" xfId="1848"/>
    <cellStyle name="Финансовый 5 15" xfId="810"/>
    <cellStyle name="Финансовый 5 15 2" xfId="811"/>
    <cellStyle name="Финансовый 5 15 2 2" xfId="1850"/>
    <cellStyle name="Финансовый 5 15 2 2 2" xfId="6488"/>
    <cellStyle name="Финансовый 5 15 2 3" xfId="2644"/>
    <cellStyle name="Финансовый 5 15 2 3 2" xfId="6743"/>
    <cellStyle name="Финансовый 5 15 2 4" xfId="3397"/>
    <cellStyle name="Финансовый 5 15 2 4 2" xfId="7975"/>
    <cellStyle name="Финансовый 5 15 2 5" xfId="4138"/>
    <cellStyle name="Финансовый 5 15 2 6" xfId="4879"/>
    <cellStyle name="Финансовый 5 15 2 7" xfId="5620"/>
    <cellStyle name="Финансовый 5 15 3" xfId="1849"/>
    <cellStyle name="Финансовый 5 15 3 2" xfId="6487"/>
    <cellStyle name="Финансовый 5 15 4" xfId="2643"/>
    <cellStyle name="Финансовый 5 15 4 2" xfId="6887"/>
    <cellStyle name="Финансовый 5 15 5" xfId="3396"/>
    <cellStyle name="Финансовый 5 15 5 2" xfId="7974"/>
    <cellStyle name="Финансовый 5 15 6" xfId="4137"/>
    <cellStyle name="Финансовый 5 15 7" xfId="4878"/>
    <cellStyle name="Финансовый 5 15 8" xfId="5619"/>
    <cellStyle name="Финансовый 5 16" xfId="812"/>
    <cellStyle name="Финансовый 5 16 2" xfId="813"/>
    <cellStyle name="Финансовый 5 16 2 2" xfId="1852"/>
    <cellStyle name="Финансовый 5 16 2 2 2" xfId="6490"/>
    <cellStyle name="Финансовый 5 16 2 3" xfId="2646"/>
    <cellStyle name="Финансовый 5 16 2 3 2" xfId="6885"/>
    <cellStyle name="Финансовый 5 16 2 4" xfId="3399"/>
    <cellStyle name="Финансовый 5 16 2 4 2" xfId="7977"/>
    <cellStyle name="Финансовый 5 16 2 5" xfId="4140"/>
    <cellStyle name="Финансовый 5 16 2 6" xfId="4881"/>
    <cellStyle name="Финансовый 5 16 2 7" xfId="5622"/>
    <cellStyle name="Финансовый 5 16 3" xfId="1851"/>
    <cellStyle name="Финансовый 5 16 3 2" xfId="6489"/>
    <cellStyle name="Финансовый 5 16 4" xfId="2645"/>
    <cellStyle name="Финансовый 5 16 4 2" xfId="6886"/>
    <cellStyle name="Финансовый 5 16 5" xfId="3398"/>
    <cellStyle name="Финансовый 5 16 5 2" xfId="7976"/>
    <cellStyle name="Финансовый 5 16 6" xfId="4139"/>
    <cellStyle name="Финансовый 5 16 7" xfId="4880"/>
    <cellStyle name="Финансовый 5 16 8" xfId="5621"/>
    <cellStyle name="Финансовый 5 17" xfId="814"/>
    <cellStyle name="Финансовый 5 17 2" xfId="815"/>
    <cellStyle name="Финансовый 5 17 2 2" xfId="1854"/>
    <cellStyle name="Финансовый 5 17 2 2 2" xfId="6492"/>
    <cellStyle name="Финансовый 5 17 2 3" xfId="2648"/>
    <cellStyle name="Финансовый 5 17 2 3 2" xfId="6884"/>
    <cellStyle name="Финансовый 5 17 2 4" xfId="3401"/>
    <cellStyle name="Финансовый 5 17 2 4 2" xfId="8234"/>
    <cellStyle name="Финансовый 5 17 2 5" xfId="4142"/>
    <cellStyle name="Финансовый 5 17 2 6" xfId="4883"/>
    <cellStyle name="Финансовый 5 17 2 7" xfId="5624"/>
    <cellStyle name="Финансовый 5 17 3" xfId="1853"/>
    <cellStyle name="Финансовый 5 17 3 2" xfId="6491"/>
    <cellStyle name="Финансовый 5 17 4" xfId="2647"/>
    <cellStyle name="Финансовый 5 17 4 2" xfId="6358"/>
    <cellStyle name="Финансовый 5 17 5" xfId="3400"/>
    <cellStyle name="Финансовый 5 17 5 2" xfId="7978"/>
    <cellStyle name="Финансовый 5 17 6" xfId="4141"/>
    <cellStyle name="Финансовый 5 17 7" xfId="4882"/>
    <cellStyle name="Финансовый 5 17 8" xfId="5623"/>
    <cellStyle name="Финансовый 5 18" xfId="816"/>
    <cellStyle name="Финансовый 5 18 2" xfId="817"/>
    <cellStyle name="Финансовый 5 18 2 2" xfId="1856"/>
    <cellStyle name="Финансовый 5 18 2 2 2" xfId="6494"/>
    <cellStyle name="Финансовый 5 18 2 3" xfId="2650"/>
    <cellStyle name="Финансовый 5 18 2 3 2" xfId="7246"/>
    <cellStyle name="Финансовый 5 18 2 4" xfId="3403"/>
    <cellStyle name="Финансовый 5 18 2 4 2" xfId="7981"/>
    <cellStyle name="Финансовый 5 18 2 5" xfId="4144"/>
    <cellStyle name="Финансовый 5 18 2 6" xfId="4885"/>
    <cellStyle name="Финансовый 5 18 2 7" xfId="5626"/>
    <cellStyle name="Финансовый 5 18 3" xfId="1855"/>
    <cellStyle name="Финансовый 5 18 3 2" xfId="6493"/>
    <cellStyle name="Финансовый 5 18 4" xfId="2649"/>
    <cellStyle name="Финансовый 5 18 4 2" xfId="7343"/>
    <cellStyle name="Финансовый 5 18 5" xfId="3402"/>
    <cellStyle name="Финансовый 5 18 5 2" xfId="7980"/>
    <cellStyle name="Финансовый 5 18 6" xfId="4143"/>
    <cellStyle name="Финансовый 5 18 7" xfId="4884"/>
    <cellStyle name="Финансовый 5 18 8" xfId="5625"/>
    <cellStyle name="Финансовый 5 19" xfId="818"/>
    <cellStyle name="Финансовый 5 19 2" xfId="819"/>
    <cellStyle name="Финансовый 5 19 2 2" xfId="1858"/>
    <cellStyle name="Финансовый 5 19 2 2 2" xfId="6496"/>
    <cellStyle name="Финансовый 5 19 2 3" xfId="2652"/>
    <cellStyle name="Финансовый 5 19 2 3 2" xfId="6883"/>
    <cellStyle name="Финансовый 5 19 2 4" xfId="3405"/>
    <cellStyle name="Финансовый 5 19 2 4 2" xfId="7983"/>
    <cellStyle name="Финансовый 5 19 2 5" xfId="4146"/>
    <cellStyle name="Финансовый 5 19 2 6" xfId="4887"/>
    <cellStyle name="Финансовый 5 19 2 7" xfId="5628"/>
    <cellStyle name="Финансовый 5 19 3" xfId="1857"/>
    <cellStyle name="Финансовый 5 19 3 2" xfId="6495"/>
    <cellStyle name="Финансовый 5 19 4" xfId="2651"/>
    <cellStyle name="Финансовый 5 19 4 2" xfId="6355"/>
    <cellStyle name="Финансовый 5 19 5" xfId="3404"/>
    <cellStyle name="Финансовый 5 19 5 2" xfId="7982"/>
    <cellStyle name="Финансовый 5 19 6" xfId="4145"/>
    <cellStyle name="Финансовый 5 19 7" xfId="4886"/>
    <cellStyle name="Финансовый 5 19 8" xfId="5627"/>
    <cellStyle name="Финансовый 5 2" xfId="78"/>
    <cellStyle name="Финансовый 5 2 10" xfId="5629"/>
    <cellStyle name="Финансовый 5 2 2" xfId="821"/>
    <cellStyle name="Финансовый 5 2 2 2" xfId="1860"/>
    <cellStyle name="Финансовый 5 2 2 2 2" xfId="6498"/>
    <cellStyle name="Финансовый 5 2 2 3" xfId="2654"/>
    <cellStyle name="Финансовый 5 2 2 3 2" xfId="6882"/>
    <cellStyle name="Финансовый 5 2 2 4" xfId="3407"/>
    <cellStyle name="Финансовый 5 2 2 4 2" xfId="7985"/>
    <cellStyle name="Финансовый 5 2 2 5" xfId="4148"/>
    <cellStyle name="Финансовый 5 2 2 6" xfId="4889"/>
    <cellStyle name="Финансовый 5 2 2 7" xfId="5630"/>
    <cellStyle name="Финансовый 5 2 3" xfId="820"/>
    <cellStyle name="Финансовый 5 2 3 2" xfId="1861"/>
    <cellStyle name="Финансовый 5 2 3 2 2" xfId="6499"/>
    <cellStyle name="Финансовый 5 2 3 3" xfId="2655"/>
    <cellStyle name="Финансовый 5 2 3 3 2" xfId="6881"/>
    <cellStyle name="Финансовый 5 2 3 4" xfId="3408"/>
    <cellStyle name="Финансовый 5 2 3 4 2" xfId="7986"/>
    <cellStyle name="Финансовый 5 2 3 5" xfId="4149"/>
    <cellStyle name="Финансовый 5 2 3 6" xfId="4890"/>
    <cellStyle name="Финансовый 5 2 3 7" xfId="5631"/>
    <cellStyle name="Финансовый 5 2 4" xfId="1862"/>
    <cellStyle name="Финансовый 5 2 4 2" xfId="2933"/>
    <cellStyle name="Финансовый 5 2 4 2 2" xfId="6845"/>
    <cellStyle name="Финансовый 5 2 4 3" xfId="3674"/>
    <cellStyle name="Финансовый 5 2 4 3 2" xfId="6880"/>
    <cellStyle name="Финансовый 5 2 4 4" xfId="4415"/>
    <cellStyle name="Финансовый 5 2 4 4 2" xfId="7987"/>
    <cellStyle name="Финансовый 5 2 4 5" xfId="5156"/>
    <cellStyle name="Финансовый 5 2 4 6" xfId="5897"/>
    <cellStyle name="Финансовый 5 2 5" xfId="1859"/>
    <cellStyle name="Финансовый 5 2 5 2" xfId="6497"/>
    <cellStyle name="Финансовый 5 2 6" xfId="2653"/>
    <cellStyle name="Финансовый 5 2 6 2" xfId="7249"/>
    <cellStyle name="Финансовый 5 2 7" xfId="3406"/>
    <cellStyle name="Финансовый 5 2 7 2" xfId="7984"/>
    <cellStyle name="Финансовый 5 2 8" xfId="4147"/>
    <cellStyle name="Финансовый 5 2 9" xfId="4888"/>
    <cellStyle name="Финансовый 5 20" xfId="822"/>
    <cellStyle name="Финансовый 5 20 2" xfId="823"/>
    <cellStyle name="Финансовый 5 20 2 2" xfId="1864"/>
    <cellStyle name="Финансовый 5 20 2 2 2" xfId="6501"/>
    <cellStyle name="Финансовый 5 20 2 3" xfId="2657"/>
    <cellStyle name="Финансовый 5 20 2 3 2" xfId="6879"/>
    <cellStyle name="Финансовый 5 20 2 4" xfId="3410"/>
    <cellStyle name="Финансовый 5 20 2 4 2" xfId="7989"/>
    <cellStyle name="Финансовый 5 20 2 5" xfId="4151"/>
    <cellStyle name="Финансовый 5 20 2 6" xfId="4892"/>
    <cellStyle name="Финансовый 5 20 2 7" xfId="5633"/>
    <cellStyle name="Финансовый 5 20 3" xfId="1863"/>
    <cellStyle name="Финансовый 5 20 3 2" xfId="6500"/>
    <cellStyle name="Финансовый 5 20 4" xfId="2656"/>
    <cellStyle name="Финансовый 5 20 4 2" xfId="7170"/>
    <cellStyle name="Финансовый 5 20 5" xfId="3409"/>
    <cellStyle name="Финансовый 5 20 5 2" xfId="7988"/>
    <cellStyle name="Финансовый 5 20 6" xfId="4150"/>
    <cellStyle name="Финансовый 5 20 7" xfId="4891"/>
    <cellStyle name="Финансовый 5 20 8" xfId="5632"/>
    <cellStyle name="Финансовый 5 21" xfId="824"/>
    <cellStyle name="Финансовый 5 21 2" xfId="825"/>
    <cellStyle name="Финансовый 5 21 2 2" xfId="1866"/>
    <cellStyle name="Финансовый 5 21 2 2 2" xfId="6503"/>
    <cellStyle name="Финансовый 5 21 2 3" xfId="2659"/>
    <cellStyle name="Финансовый 5 21 2 3 2" xfId="7180"/>
    <cellStyle name="Финансовый 5 21 2 4" xfId="3412"/>
    <cellStyle name="Финансовый 5 21 2 4 2" xfId="7990"/>
    <cellStyle name="Финансовый 5 21 2 5" xfId="4153"/>
    <cellStyle name="Финансовый 5 21 2 6" xfId="4894"/>
    <cellStyle name="Финансовый 5 21 2 7" xfId="5635"/>
    <cellStyle name="Финансовый 5 21 3" xfId="1865"/>
    <cellStyle name="Финансовый 5 21 3 2" xfId="6502"/>
    <cellStyle name="Финансовый 5 21 4" xfId="2658"/>
    <cellStyle name="Финансовый 5 21 4 2" xfId="7250"/>
    <cellStyle name="Финансовый 5 21 5" xfId="3411"/>
    <cellStyle name="Финансовый 5 21 5 2" xfId="8310"/>
    <cellStyle name="Финансовый 5 21 6" xfId="4152"/>
    <cellStyle name="Финансовый 5 21 7" xfId="4893"/>
    <cellStyle name="Финансовый 5 21 8" xfId="5634"/>
    <cellStyle name="Финансовый 5 22" xfId="826"/>
    <cellStyle name="Финансовый 5 22 2" xfId="827"/>
    <cellStyle name="Финансовый 5 22 2 2" xfId="1868"/>
    <cellStyle name="Финансовый 5 22 2 2 2" xfId="6505"/>
    <cellStyle name="Финансовый 5 22 2 3" xfId="2661"/>
    <cellStyle name="Финансовый 5 22 2 3 2" xfId="7165"/>
    <cellStyle name="Финансовый 5 22 2 4" xfId="3414"/>
    <cellStyle name="Финансовый 5 22 2 4 2" xfId="7992"/>
    <cellStyle name="Финансовый 5 22 2 5" xfId="4155"/>
    <cellStyle name="Финансовый 5 22 2 6" xfId="4896"/>
    <cellStyle name="Финансовый 5 22 2 7" xfId="5637"/>
    <cellStyle name="Финансовый 5 22 3" xfId="1867"/>
    <cellStyle name="Финансовый 5 22 3 2" xfId="6504"/>
    <cellStyle name="Финансовый 5 22 4" xfId="2660"/>
    <cellStyle name="Финансовый 5 22 4 2" xfId="7164"/>
    <cellStyle name="Финансовый 5 22 5" xfId="3413"/>
    <cellStyle name="Финансовый 5 22 5 2" xfId="7991"/>
    <cellStyle name="Финансовый 5 22 6" xfId="4154"/>
    <cellStyle name="Финансовый 5 22 7" xfId="4895"/>
    <cellStyle name="Финансовый 5 22 8" xfId="5636"/>
    <cellStyle name="Финансовый 5 23" xfId="828"/>
    <cellStyle name="Финансовый 5 23 2" xfId="829"/>
    <cellStyle name="Финансовый 5 23 2 2" xfId="1870"/>
    <cellStyle name="Финансовый 5 23 2 2 2" xfId="6507"/>
    <cellStyle name="Финансовый 5 23 2 3" xfId="2663"/>
    <cellStyle name="Финансовый 5 23 2 3 2" xfId="6483"/>
    <cellStyle name="Финансовый 5 23 2 4" xfId="3416"/>
    <cellStyle name="Финансовый 5 23 2 4 2" xfId="7994"/>
    <cellStyle name="Финансовый 5 23 2 5" xfId="4157"/>
    <cellStyle name="Финансовый 5 23 2 6" xfId="4898"/>
    <cellStyle name="Финансовый 5 23 2 7" xfId="5639"/>
    <cellStyle name="Финансовый 5 23 3" xfId="1869"/>
    <cellStyle name="Финансовый 5 23 3 2" xfId="6506"/>
    <cellStyle name="Финансовый 5 23 4" xfId="2662"/>
    <cellStyle name="Финансовый 5 23 4 2" xfId="6878"/>
    <cellStyle name="Финансовый 5 23 5" xfId="3415"/>
    <cellStyle name="Финансовый 5 23 5 2" xfId="7993"/>
    <cellStyle name="Финансовый 5 23 6" xfId="4156"/>
    <cellStyle name="Финансовый 5 23 7" xfId="4897"/>
    <cellStyle name="Финансовый 5 23 8" xfId="5638"/>
    <cellStyle name="Финансовый 5 24" xfId="830"/>
    <cellStyle name="Финансовый 5 24 2" xfId="831"/>
    <cellStyle name="Финансовый 5 24 2 2" xfId="1872"/>
    <cellStyle name="Финансовый 5 24 2 2 2" xfId="6509"/>
    <cellStyle name="Финансовый 5 24 2 3" xfId="2665"/>
    <cellStyle name="Финансовый 5 24 2 3 2" xfId="6876"/>
    <cellStyle name="Финансовый 5 24 2 4" xfId="3418"/>
    <cellStyle name="Финансовый 5 24 2 4 2" xfId="7996"/>
    <cellStyle name="Финансовый 5 24 2 5" xfId="4159"/>
    <cellStyle name="Финансовый 5 24 2 6" xfId="4900"/>
    <cellStyle name="Финансовый 5 24 2 7" xfId="5641"/>
    <cellStyle name="Финансовый 5 24 3" xfId="1871"/>
    <cellStyle name="Финансовый 5 24 3 2" xfId="6508"/>
    <cellStyle name="Финансовый 5 24 4" xfId="2664"/>
    <cellStyle name="Финансовый 5 24 4 2" xfId="6877"/>
    <cellStyle name="Финансовый 5 24 5" xfId="3417"/>
    <cellStyle name="Финансовый 5 24 5 2" xfId="7995"/>
    <cellStyle name="Финансовый 5 24 6" xfId="4158"/>
    <cellStyle name="Финансовый 5 24 7" xfId="4899"/>
    <cellStyle name="Финансовый 5 24 8" xfId="5640"/>
    <cellStyle name="Финансовый 5 25" xfId="832"/>
    <cellStyle name="Финансовый 5 25 2" xfId="833"/>
    <cellStyle name="Финансовый 5 25 2 2" xfId="1874"/>
    <cellStyle name="Финансовый 5 25 2 2 2" xfId="6511"/>
    <cellStyle name="Финансовый 5 25 2 3" xfId="2667"/>
    <cellStyle name="Финансовый 5 25 2 3 2" xfId="7202"/>
    <cellStyle name="Финансовый 5 25 2 4" xfId="3420"/>
    <cellStyle name="Финансовый 5 25 2 4 2" xfId="8247"/>
    <cellStyle name="Финансовый 5 25 2 5" xfId="4161"/>
    <cellStyle name="Финансовый 5 25 2 6" xfId="4902"/>
    <cellStyle name="Финансовый 5 25 2 7" xfId="5643"/>
    <cellStyle name="Финансовый 5 25 3" xfId="1873"/>
    <cellStyle name="Финансовый 5 25 3 2" xfId="6510"/>
    <cellStyle name="Финансовый 5 25 4" xfId="2666"/>
    <cellStyle name="Финансовый 5 25 4 2" xfId="7204"/>
    <cellStyle name="Финансовый 5 25 5" xfId="3419"/>
    <cellStyle name="Финансовый 5 25 5 2" xfId="7997"/>
    <cellStyle name="Финансовый 5 25 6" xfId="4160"/>
    <cellStyle name="Финансовый 5 25 7" xfId="4901"/>
    <cellStyle name="Финансовый 5 25 8" xfId="5642"/>
    <cellStyle name="Финансовый 5 26" xfId="834"/>
    <cellStyle name="Финансовый 5 26 2" xfId="835"/>
    <cellStyle name="Финансовый 5 26 2 2" xfId="1876"/>
    <cellStyle name="Финансовый 5 26 2 2 2" xfId="6513"/>
    <cellStyle name="Финансовый 5 26 2 3" xfId="2669"/>
    <cellStyle name="Финансовый 5 26 2 3 2" xfId="6394"/>
    <cellStyle name="Финансовый 5 26 2 4" xfId="3422"/>
    <cellStyle name="Финансовый 5 26 2 4 2" xfId="8213"/>
    <cellStyle name="Финансовый 5 26 2 5" xfId="4163"/>
    <cellStyle name="Финансовый 5 26 2 6" xfId="4904"/>
    <cellStyle name="Финансовый 5 26 2 7" xfId="5645"/>
    <cellStyle name="Финансовый 5 26 3" xfId="1875"/>
    <cellStyle name="Финансовый 5 26 3 2" xfId="6512"/>
    <cellStyle name="Финансовый 5 26 4" xfId="2668"/>
    <cellStyle name="Финансовый 5 26 4 2" xfId="6736"/>
    <cellStyle name="Финансовый 5 26 5" xfId="3421"/>
    <cellStyle name="Финансовый 5 26 5 2" xfId="8211"/>
    <cellStyle name="Финансовый 5 26 6" xfId="4162"/>
    <cellStyle name="Финансовый 5 26 7" xfId="4903"/>
    <cellStyle name="Финансовый 5 26 8" xfId="5644"/>
    <cellStyle name="Финансовый 5 27" xfId="836"/>
    <cellStyle name="Финансовый 5 27 2" xfId="837"/>
    <cellStyle name="Финансовый 5 27 2 2" xfId="1878"/>
    <cellStyle name="Финансовый 5 27 2 3" xfId="7368"/>
    <cellStyle name="Финансовый 5 27 3" xfId="1877"/>
    <cellStyle name="Финансовый 5 27 4" xfId="8330"/>
    <cellStyle name="Финансовый 5 28" xfId="838"/>
    <cellStyle name="Финансовый 5 28 2" xfId="839"/>
    <cellStyle name="Финансовый 5 28 2 2" xfId="1880"/>
    <cellStyle name="Финансовый 5 28 2 2 2" xfId="6517"/>
    <cellStyle name="Финансовый 5 28 2 3" xfId="2671"/>
    <cellStyle name="Финансовый 5 28 2 3 2" xfId="6372"/>
    <cellStyle name="Финансовый 5 28 2 4" xfId="3424"/>
    <cellStyle name="Финансовый 5 28 2 4 2" xfId="8000"/>
    <cellStyle name="Финансовый 5 28 2 5" xfId="4165"/>
    <cellStyle name="Финансовый 5 28 2 6" xfId="4906"/>
    <cellStyle name="Финансовый 5 28 2 7" xfId="5647"/>
    <cellStyle name="Финансовый 5 28 3" xfId="1879"/>
    <cellStyle name="Финансовый 5 28 3 2" xfId="6516"/>
    <cellStyle name="Финансовый 5 28 4" xfId="2670"/>
    <cellStyle name="Финансовый 5 28 4 2" xfId="6364"/>
    <cellStyle name="Финансовый 5 28 5" xfId="3423"/>
    <cellStyle name="Финансовый 5 28 5 2" xfId="7999"/>
    <cellStyle name="Финансовый 5 28 6" xfId="4164"/>
    <cellStyle name="Финансовый 5 28 7" xfId="4905"/>
    <cellStyle name="Финансовый 5 28 8" xfId="5646"/>
    <cellStyle name="Финансовый 5 29" xfId="840"/>
    <cellStyle name="Финансовый 5 29 2" xfId="841"/>
    <cellStyle name="Финансовый 5 29 2 2" xfId="1882"/>
    <cellStyle name="Финансовый 5 29 2 2 2" xfId="6519"/>
    <cellStyle name="Финансовый 5 29 2 3" xfId="2673"/>
    <cellStyle name="Финансовый 5 29 2 3 2" xfId="7336"/>
    <cellStyle name="Финансовый 5 29 2 4" xfId="3426"/>
    <cellStyle name="Финансовый 5 29 2 4 2" xfId="8002"/>
    <cellStyle name="Финансовый 5 29 2 5" xfId="4167"/>
    <cellStyle name="Финансовый 5 29 2 6" xfId="4908"/>
    <cellStyle name="Финансовый 5 29 2 7" xfId="5649"/>
    <cellStyle name="Финансовый 5 29 3" xfId="1881"/>
    <cellStyle name="Финансовый 5 29 3 2" xfId="6518"/>
    <cellStyle name="Финансовый 5 29 4" xfId="2672"/>
    <cellStyle name="Финансовый 5 29 4 2" xfId="7184"/>
    <cellStyle name="Финансовый 5 29 5" xfId="3425"/>
    <cellStyle name="Финансовый 5 29 5 2" xfId="8001"/>
    <cellStyle name="Финансовый 5 29 6" xfId="4166"/>
    <cellStyle name="Финансовый 5 29 7" xfId="4907"/>
    <cellStyle name="Финансовый 5 29 8" xfId="5648"/>
    <cellStyle name="Финансовый 5 3" xfId="108"/>
    <cellStyle name="Финансовый 5 3 2" xfId="843"/>
    <cellStyle name="Финансовый 5 3 2 2" xfId="1884"/>
    <cellStyle name="Финансовый 5 3 2 2 2" xfId="6521"/>
    <cellStyle name="Финансовый 5 3 2 3" xfId="2675"/>
    <cellStyle name="Финансовый 5 3 2 3 2" xfId="6745"/>
    <cellStyle name="Финансовый 5 3 2 4" xfId="3428"/>
    <cellStyle name="Финансовый 5 3 2 4 2" xfId="8210"/>
    <cellStyle name="Финансовый 5 3 2 5" xfId="4169"/>
    <cellStyle name="Финансовый 5 3 2 6" xfId="4910"/>
    <cellStyle name="Финансовый 5 3 2 7" xfId="5651"/>
    <cellStyle name="Финансовый 5 3 3" xfId="842"/>
    <cellStyle name="Финансовый 5 3 3 2" xfId="1885"/>
    <cellStyle name="Финансовый 5 3 3 2 2" xfId="6833"/>
    <cellStyle name="Финансовый 5 3 3 3" xfId="2921"/>
    <cellStyle name="Финансовый 5 3 3 3 2" xfId="6873"/>
    <cellStyle name="Финансовый 5 3 3 4" xfId="3662"/>
    <cellStyle name="Финансовый 5 3 3 4 2" xfId="8217"/>
    <cellStyle name="Финансовый 5 3 3 5" xfId="4403"/>
    <cellStyle name="Финансовый 5 3 3 6" xfId="5144"/>
    <cellStyle name="Финансовый 5 3 3 7" xfId="5885"/>
    <cellStyle name="Финансовый 5 3 4" xfId="1883"/>
    <cellStyle name="Финансовый 5 3 4 2" xfId="6520"/>
    <cellStyle name="Финансовый 5 3 5" xfId="2674"/>
    <cellStyle name="Финансовый 5 3 5 2" xfId="6875"/>
    <cellStyle name="Финансовый 5 3 6" xfId="3427"/>
    <cellStyle name="Финансовый 5 3 6 2" xfId="8003"/>
    <cellStyle name="Финансовый 5 3 7" xfId="4168"/>
    <cellStyle name="Финансовый 5 3 8" xfId="4909"/>
    <cellStyle name="Финансовый 5 3 9" xfId="5650"/>
    <cellStyle name="Финансовый 5 30" xfId="844"/>
    <cellStyle name="Финансовый 5 30 2" xfId="845"/>
    <cellStyle name="Финансовый 5 30 2 2" xfId="1887"/>
    <cellStyle name="Финансовый 5 30 2 2 2" xfId="6523"/>
    <cellStyle name="Финансовый 5 30 2 3" xfId="2677"/>
    <cellStyle name="Финансовый 5 30 2 3 2" xfId="7183"/>
    <cellStyle name="Финансовый 5 30 2 4" xfId="3430"/>
    <cellStyle name="Финансовый 5 30 2 4 2" xfId="8230"/>
    <cellStyle name="Финансовый 5 30 2 5" xfId="4171"/>
    <cellStyle name="Финансовый 5 30 2 6" xfId="4912"/>
    <cellStyle name="Финансовый 5 30 2 7" xfId="5653"/>
    <cellStyle name="Финансовый 5 30 3" xfId="1886"/>
    <cellStyle name="Финансовый 5 30 3 2" xfId="6522"/>
    <cellStyle name="Финансовый 5 30 4" xfId="2676"/>
    <cellStyle name="Финансовый 5 30 4 2" xfId="6388"/>
    <cellStyle name="Финансовый 5 30 5" xfId="3429"/>
    <cellStyle name="Финансовый 5 30 5 2" xfId="8004"/>
    <cellStyle name="Финансовый 5 30 6" xfId="4170"/>
    <cellStyle name="Финансовый 5 30 7" xfId="4911"/>
    <cellStyle name="Финансовый 5 30 8" xfId="5652"/>
    <cellStyle name="Финансовый 5 31" xfId="846"/>
    <cellStyle name="Финансовый 5 31 2" xfId="847"/>
    <cellStyle name="Финансовый 5 31 2 2" xfId="1889"/>
    <cellStyle name="Финансовый 5 31 2 2 2" xfId="6525"/>
    <cellStyle name="Финансовый 5 31 2 3" xfId="2679"/>
    <cellStyle name="Финансовый 5 31 2 3 2" xfId="6872"/>
    <cellStyle name="Финансовый 5 31 2 4" xfId="3432"/>
    <cellStyle name="Финансовый 5 31 2 4 2" xfId="8236"/>
    <cellStyle name="Финансовый 5 31 2 5" xfId="4173"/>
    <cellStyle name="Финансовый 5 31 2 6" xfId="4914"/>
    <cellStyle name="Финансовый 5 31 2 7" xfId="5655"/>
    <cellStyle name="Финансовый 5 31 3" xfId="1888"/>
    <cellStyle name="Финансовый 5 31 3 2" xfId="6524"/>
    <cellStyle name="Финансовый 5 31 4" xfId="2678"/>
    <cellStyle name="Финансовый 5 31 4 2" xfId="6767"/>
    <cellStyle name="Финансовый 5 31 5" xfId="3431"/>
    <cellStyle name="Финансовый 5 31 5 2" xfId="8005"/>
    <cellStyle name="Финансовый 5 31 6" xfId="4172"/>
    <cellStyle name="Финансовый 5 31 7" xfId="4913"/>
    <cellStyle name="Финансовый 5 31 8" xfId="5654"/>
    <cellStyle name="Финансовый 5 32" xfId="848"/>
    <cellStyle name="Финансовый 5 32 2" xfId="849"/>
    <cellStyle name="Финансовый 5 32 2 2" xfId="1891"/>
    <cellStyle name="Финансовый 5 32 2 2 2" xfId="6527"/>
    <cellStyle name="Финансовый 5 32 2 3" xfId="2681"/>
    <cellStyle name="Финансовый 5 32 2 3 2" xfId="7236"/>
    <cellStyle name="Финансовый 5 32 2 4" xfId="3434"/>
    <cellStyle name="Финансовый 5 32 2 4 2" xfId="8239"/>
    <cellStyle name="Финансовый 5 32 2 5" xfId="4175"/>
    <cellStyle name="Финансовый 5 32 2 6" xfId="4916"/>
    <cellStyle name="Финансовый 5 32 2 7" xfId="5657"/>
    <cellStyle name="Финансовый 5 32 3" xfId="1890"/>
    <cellStyle name="Финансовый 5 32 3 2" xfId="6526"/>
    <cellStyle name="Финансовый 5 32 4" xfId="2680"/>
    <cellStyle name="Финансовый 5 32 4 2" xfId="7132"/>
    <cellStyle name="Финансовый 5 32 5" xfId="3433"/>
    <cellStyle name="Финансовый 5 32 5 2" xfId="8006"/>
    <cellStyle name="Финансовый 5 32 6" xfId="4174"/>
    <cellStyle name="Финансовый 5 32 7" xfId="4915"/>
    <cellStyle name="Финансовый 5 32 8" xfId="5656"/>
    <cellStyle name="Финансовый 5 33" xfId="850"/>
    <cellStyle name="Финансовый 5 33 2" xfId="851"/>
    <cellStyle name="Финансовый 5 33 2 2" xfId="1893"/>
    <cellStyle name="Финансовый 5 33 2 2 2" xfId="6529"/>
    <cellStyle name="Финансовый 5 33 2 3" xfId="2683"/>
    <cellStyle name="Финансовый 5 33 2 3 2" xfId="6367"/>
    <cellStyle name="Финансовый 5 33 2 4" xfId="3436"/>
    <cellStyle name="Финансовый 5 33 2 4 2" xfId="8008"/>
    <cellStyle name="Финансовый 5 33 2 5" xfId="4177"/>
    <cellStyle name="Финансовый 5 33 2 6" xfId="4918"/>
    <cellStyle name="Финансовый 5 33 2 7" xfId="5659"/>
    <cellStyle name="Финансовый 5 33 3" xfId="1892"/>
    <cellStyle name="Финансовый 5 33 3 2" xfId="6528"/>
    <cellStyle name="Финансовый 5 33 4" xfId="2682"/>
    <cellStyle name="Финансовый 5 33 4 2" xfId="7179"/>
    <cellStyle name="Финансовый 5 33 5" xfId="3435"/>
    <cellStyle name="Финансовый 5 33 5 2" xfId="8007"/>
    <cellStyle name="Финансовый 5 33 6" xfId="4176"/>
    <cellStyle name="Финансовый 5 33 7" xfId="4917"/>
    <cellStyle name="Финансовый 5 33 8" xfId="5658"/>
    <cellStyle name="Финансовый 5 34" xfId="852"/>
    <cellStyle name="Финансовый 5 34 2" xfId="853"/>
    <cellStyle name="Финансовый 5 34 2 2" xfId="1895"/>
    <cellStyle name="Финансовый 5 34 2 2 2" xfId="6531"/>
    <cellStyle name="Финансовый 5 34 2 3" xfId="2685"/>
    <cellStyle name="Финансовый 5 34 2 3 2" xfId="6482"/>
    <cellStyle name="Финансовый 5 34 2 4" xfId="3438"/>
    <cellStyle name="Финансовый 5 34 2 4 2" xfId="8009"/>
    <cellStyle name="Финансовый 5 34 2 5" xfId="4179"/>
    <cellStyle name="Финансовый 5 34 2 6" xfId="4920"/>
    <cellStyle name="Финансовый 5 34 2 7" xfId="5661"/>
    <cellStyle name="Финансовый 5 34 3" xfId="1894"/>
    <cellStyle name="Финансовый 5 34 3 2" xfId="6530"/>
    <cellStyle name="Финансовый 5 34 4" xfId="2684"/>
    <cellStyle name="Финансовый 5 34 4 2" xfId="6871"/>
    <cellStyle name="Финансовый 5 34 5" xfId="3437"/>
    <cellStyle name="Финансовый 5 34 5 2" xfId="8245"/>
    <cellStyle name="Финансовый 5 34 6" xfId="4178"/>
    <cellStyle name="Финансовый 5 34 7" xfId="4919"/>
    <cellStyle name="Финансовый 5 34 8" xfId="5660"/>
    <cellStyle name="Финансовый 5 35" xfId="854"/>
    <cellStyle name="Финансовый 5 35 2" xfId="855"/>
    <cellStyle name="Финансовый 5 35 2 2" xfId="1897"/>
    <cellStyle name="Финансовый 5 35 2 2 2" xfId="6533"/>
    <cellStyle name="Финансовый 5 35 2 3" xfId="2687"/>
    <cellStyle name="Финансовый 5 35 2 3 2" xfId="6476"/>
    <cellStyle name="Финансовый 5 35 2 4" xfId="3440"/>
    <cellStyle name="Финансовый 5 35 2 4 2" xfId="8243"/>
    <cellStyle name="Финансовый 5 35 2 5" xfId="4181"/>
    <cellStyle name="Финансовый 5 35 2 6" xfId="4922"/>
    <cellStyle name="Финансовый 5 35 2 7" xfId="5663"/>
    <cellStyle name="Финансовый 5 35 3" xfId="1896"/>
    <cellStyle name="Финансовый 5 35 3 2" xfId="6532"/>
    <cellStyle name="Финансовый 5 35 4" xfId="2686"/>
    <cellStyle name="Финансовый 5 35 4 2" xfId="6870"/>
    <cellStyle name="Финансовый 5 35 5" xfId="3439"/>
    <cellStyle name="Финансовый 5 35 5 2" xfId="8010"/>
    <cellStyle name="Финансовый 5 35 6" xfId="4180"/>
    <cellStyle name="Финансовый 5 35 7" xfId="4921"/>
    <cellStyle name="Финансовый 5 35 8" xfId="5662"/>
    <cellStyle name="Финансовый 5 36" xfId="856"/>
    <cellStyle name="Финансовый 5 36 2" xfId="857"/>
    <cellStyle name="Финансовый 5 36 2 2" xfId="1899"/>
    <cellStyle name="Финансовый 5 36 2 3" xfId="8011"/>
    <cellStyle name="Финансовый 5 36 3" xfId="1898"/>
    <cellStyle name="Финансовый 5 36 4" xfId="8244"/>
    <cellStyle name="Финансовый 5 37" xfId="858"/>
    <cellStyle name="Финансовый 5 37 2" xfId="859"/>
    <cellStyle name="Финансовый 5 37 2 2" xfId="1901"/>
    <cellStyle name="Финансовый 5 37 2 2 2" xfId="6535"/>
    <cellStyle name="Финансовый 5 37 2 3" xfId="2689"/>
    <cellStyle name="Финансовый 5 37 2 3 2" xfId="6869"/>
    <cellStyle name="Финансовый 5 37 2 4" xfId="3442"/>
    <cellStyle name="Финансовый 5 37 2 4 2" xfId="8013"/>
    <cellStyle name="Финансовый 5 37 2 5" xfId="4183"/>
    <cellStyle name="Финансовый 5 37 2 6" xfId="4924"/>
    <cellStyle name="Финансовый 5 37 2 7" xfId="5665"/>
    <cellStyle name="Финансовый 5 37 3" xfId="1900"/>
    <cellStyle name="Финансовый 5 37 3 2" xfId="6534"/>
    <cellStyle name="Финансовый 5 37 4" xfId="2688"/>
    <cellStyle name="Финансовый 5 37 4 2" xfId="6262"/>
    <cellStyle name="Финансовый 5 37 5" xfId="3441"/>
    <cellStyle name="Финансовый 5 37 5 2" xfId="8012"/>
    <cellStyle name="Финансовый 5 37 6" xfId="4182"/>
    <cellStyle name="Финансовый 5 37 7" xfId="4923"/>
    <cellStyle name="Финансовый 5 37 8" xfId="5664"/>
    <cellStyle name="Финансовый 5 38" xfId="860"/>
    <cellStyle name="Финансовый 5 38 2" xfId="861"/>
    <cellStyle name="Финансовый 5 38 2 2" xfId="1903"/>
    <cellStyle name="Финансовый 5 38 2 2 2" xfId="6537"/>
    <cellStyle name="Финансовый 5 38 2 3" xfId="2691"/>
    <cellStyle name="Финансовый 5 38 2 3 2" xfId="6793"/>
    <cellStyle name="Финансовый 5 38 2 4" xfId="3444"/>
    <cellStyle name="Финансовый 5 38 2 4 2" xfId="8015"/>
    <cellStyle name="Финансовый 5 38 2 5" xfId="4185"/>
    <cellStyle name="Финансовый 5 38 2 6" xfId="4926"/>
    <cellStyle name="Финансовый 5 38 2 7" xfId="5667"/>
    <cellStyle name="Финансовый 5 38 3" xfId="1902"/>
    <cellStyle name="Финансовый 5 38 3 2" xfId="6536"/>
    <cellStyle name="Финансовый 5 38 4" xfId="2690"/>
    <cellStyle name="Финансовый 5 38 4 2" xfId="6868"/>
    <cellStyle name="Финансовый 5 38 5" xfId="3443"/>
    <cellStyle name="Финансовый 5 38 5 2" xfId="8014"/>
    <cellStyle name="Финансовый 5 38 6" xfId="4184"/>
    <cellStyle name="Финансовый 5 38 7" xfId="4925"/>
    <cellStyle name="Финансовый 5 38 8" xfId="5666"/>
    <cellStyle name="Финансовый 5 39" xfId="862"/>
    <cellStyle name="Финансовый 5 39 2" xfId="863"/>
    <cellStyle name="Финансовый 5 39 2 2" xfId="1905"/>
    <cellStyle name="Финансовый 5 39 2 2 2" xfId="6539"/>
    <cellStyle name="Финансовый 5 39 2 3" xfId="2693"/>
    <cellStyle name="Финансовый 5 39 2 3 2" xfId="6866"/>
    <cellStyle name="Финансовый 5 39 2 4" xfId="3446"/>
    <cellStyle name="Финансовый 5 39 2 4 2" xfId="8016"/>
    <cellStyle name="Финансовый 5 39 2 5" xfId="4187"/>
    <cellStyle name="Финансовый 5 39 2 6" xfId="4928"/>
    <cellStyle name="Финансовый 5 39 2 7" xfId="5669"/>
    <cellStyle name="Финансовый 5 39 3" xfId="1904"/>
    <cellStyle name="Финансовый 5 39 3 2" xfId="6538"/>
    <cellStyle name="Финансовый 5 39 4" xfId="2692"/>
    <cellStyle name="Финансовый 5 39 4 2" xfId="6867"/>
    <cellStyle name="Финансовый 5 39 5" xfId="3445"/>
    <cellStyle name="Финансовый 5 39 5 2" xfId="7405"/>
    <cellStyle name="Финансовый 5 39 6" xfId="4186"/>
    <cellStyle name="Финансовый 5 39 7" xfId="4927"/>
    <cellStyle name="Финансовый 5 39 8" xfId="5668"/>
    <cellStyle name="Финансовый 5 4" xfId="114"/>
    <cellStyle name="Финансовый 5 4 2" xfId="865"/>
    <cellStyle name="Финансовый 5 4 2 2" xfId="1907"/>
    <cellStyle name="Финансовый 5 4 2 3" xfId="7409"/>
    <cellStyle name="Финансовый 5 4 3" xfId="864"/>
    <cellStyle name="Финансовый 5 4 3 2" xfId="7337"/>
    <cellStyle name="Финансовый 5 4 4" xfId="1906"/>
    <cellStyle name="Финансовый 5 4 4 2" xfId="8060"/>
    <cellStyle name="Финансовый 5 40" xfId="866"/>
    <cellStyle name="Финансовый 5 40 2" xfId="867"/>
    <cellStyle name="Финансовый 5 40 2 2" xfId="1909"/>
    <cellStyle name="Финансовый 5 40 2 2 2" xfId="6543"/>
    <cellStyle name="Финансовый 5 40 2 3" xfId="2695"/>
    <cellStyle name="Финансовый 5 40 2 3 2" xfId="7351"/>
    <cellStyle name="Финансовый 5 40 2 4" xfId="3448"/>
    <cellStyle name="Финансовый 5 40 2 4 2" xfId="7414"/>
    <cellStyle name="Финансовый 5 40 2 5" xfId="4189"/>
    <cellStyle name="Финансовый 5 40 2 6" xfId="4930"/>
    <cellStyle name="Финансовый 5 40 2 7" xfId="5671"/>
    <cellStyle name="Финансовый 5 40 3" xfId="1908"/>
    <cellStyle name="Финансовый 5 40 3 2" xfId="6542"/>
    <cellStyle name="Финансовый 5 40 4" xfId="2694"/>
    <cellStyle name="Финансовый 5 40 4 2" xfId="6865"/>
    <cellStyle name="Финансовый 5 40 5" xfId="3447"/>
    <cellStyle name="Финансовый 5 40 5 2" xfId="7415"/>
    <cellStyle name="Финансовый 5 40 6" xfId="4188"/>
    <cellStyle name="Финансовый 5 40 7" xfId="4929"/>
    <cellStyle name="Финансовый 5 40 8" xfId="5670"/>
    <cellStyle name="Финансовый 5 41" xfId="868"/>
    <cellStyle name="Финансовый 5 41 2" xfId="1910"/>
    <cellStyle name="Финансовый 5 41 2 2" xfId="6544"/>
    <cellStyle name="Финансовый 5 41 3" xfId="2696"/>
    <cellStyle name="Финансовый 5 41 3 2" xfId="6864"/>
    <cellStyle name="Финансовый 5 41 4" xfId="3449"/>
    <cellStyle name="Финансовый 5 41 4 2" xfId="8017"/>
    <cellStyle name="Финансовый 5 41 5" xfId="4190"/>
    <cellStyle name="Финансовый 5 41 6" xfId="4931"/>
    <cellStyle name="Финансовый 5 41 7" xfId="5672"/>
    <cellStyle name="Финансовый 5 42" xfId="869"/>
    <cellStyle name="Финансовый 5 42 2" xfId="1911"/>
    <cellStyle name="Финансовый 5 42 2 2" xfId="6545"/>
    <cellStyle name="Финансовый 5 42 3" xfId="2697"/>
    <cellStyle name="Финансовый 5 42 3 2" xfId="6863"/>
    <cellStyle name="Финансовый 5 42 4" xfId="3450"/>
    <cellStyle name="Финансовый 5 42 4 2" xfId="7450"/>
    <cellStyle name="Финансовый 5 42 5" xfId="4191"/>
    <cellStyle name="Финансовый 5 42 6" xfId="4932"/>
    <cellStyle name="Финансовый 5 42 7" xfId="5673"/>
    <cellStyle name="Финансовый 5 43" xfId="800"/>
    <cellStyle name="Финансовый 5 43 2" xfId="1912"/>
    <cellStyle name="Финансовый 5 43 2 2" xfId="6546"/>
    <cellStyle name="Финансовый 5 43 3" xfId="2698"/>
    <cellStyle name="Финансовый 5 43 3 2" xfId="6003"/>
    <cellStyle name="Финансовый 5 43 4" xfId="3451"/>
    <cellStyle name="Финансовый 5 43 4 2" xfId="8018"/>
    <cellStyle name="Финансовый 5 43 5" xfId="4192"/>
    <cellStyle name="Финансовый 5 43 6" xfId="4933"/>
    <cellStyle name="Финансовый 5 43 7" xfId="5674"/>
    <cellStyle name="Финансовый 5 44" xfId="1913"/>
    <cellStyle name="Финансовый 5 44 2" xfId="2699"/>
    <cellStyle name="Финансовый 5 44 2 2" xfId="6547"/>
    <cellStyle name="Финансовый 5 44 3" xfId="3452"/>
    <cellStyle name="Финансовый 5 44 3 2" xfId="6368"/>
    <cellStyle name="Финансовый 5 44 4" xfId="4193"/>
    <cellStyle name="Финансовый 5 44 4 2" xfId="8019"/>
    <cellStyle name="Финансовый 5 44 5" xfId="4934"/>
    <cellStyle name="Финансовый 5 44 6" xfId="5675"/>
    <cellStyle name="Финансовый 5 45" xfId="1914"/>
    <cellStyle name="Финансовый 5 45 2" xfId="2700"/>
    <cellStyle name="Финансовый 5 45 2 2" xfId="6548"/>
    <cellStyle name="Финансовый 5 45 3" xfId="3453"/>
    <cellStyle name="Финансовый 5 45 3 2" xfId="6770"/>
    <cellStyle name="Финансовый 5 45 4" xfId="4194"/>
    <cellStyle name="Финансовый 5 45 4 2" xfId="8279"/>
    <cellStyle name="Финансовый 5 45 5" xfId="4935"/>
    <cellStyle name="Финансовый 5 45 6" xfId="5676"/>
    <cellStyle name="Финансовый 5 46" xfId="1915"/>
    <cellStyle name="Финансовый 5 46 2" xfId="2701"/>
    <cellStyle name="Финансовый 5 46 2 2" xfId="6549"/>
    <cellStyle name="Финансовый 5 46 3" xfId="3454"/>
    <cellStyle name="Финансовый 5 46 3 2" xfId="7352"/>
    <cellStyle name="Финансовый 5 46 4" xfId="4195"/>
    <cellStyle name="Финансовый 5 46 4 2" xfId="8290"/>
    <cellStyle name="Финансовый 5 46 5" xfId="4936"/>
    <cellStyle name="Финансовый 5 46 6" xfId="5677"/>
    <cellStyle name="Финансовый 5 47" xfId="1916"/>
    <cellStyle name="Финансовый 5 47 2" xfId="2885"/>
    <cellStyle name="Финансовый 5 47 2 2" xfId="6797"/>
    <cellStyle name="Финансовый 5 47 3" xfId="3626"/>
    <cellStyle name="Финансовый 5 47 3 2" xfId="7255"/>
    <cellStyle name="Финансовый 5 47 4" xfId="4367"/>
    <cellStyle name="Финансовый 5 47 4 2" xfId="8301"/>
    <cellStyle name="Финансовый 5 47 5" xfId="5108"/>
    <cellStyle name="Финансовый 5 47 6" xfId="5849"/>
    <cellStyle name="Финансовый 5 48" xfId="1917"/>
    <cellStyle name="Финансовый 5 48 2" xfId="2897"/>
    <cellStyle name="Финансовый 5 48 2 2" xfId="6809"/>
    <cellStyle name="Финансовый 5 48 3" xfId="3638"/>
    <cellStyle name="Финансовый 5 48 3 2" xfId="7282"/>
    <cellStyle name="Финансовый 5 48 4" xfId="4379"/>
    <cellStyle name="Финансовый 5 48 4 2" xfId="8020"/>
    <cellStyle name="Финансовый 5 48 5" xfId="5120"/>
    <cellStyle name="Финансовый 5 48 6" xfId="5861"/>
    <cellStyle name="Финансовый 5 49" xfId="1918"/>
    <cellStyle name="Финансовый 5 49 2" xfId="2909"/>
    <cellStyle name="Финансовый 5 49 2 2" xfId="6821"/>
    <cellStyle name="Финансовый 5 49 3" xfId="3650"/>
    <cellStyle name="Финансовый 5 49 3 2" xfId="7229"/>
    <cellStyle name="Финансовый 5 49 4" xfId="4391"/>
    <cellStyle name="Финансовый 5 49 4 2" xfId="8021"/>
    <cellStyle name="Финансовый 5 49 5" xfId="5132"/>
    <cellStyle name="Финансовый 5 49 6" xfId="5873"/>
    <cellStyle name="Финансовый 5 5" xfId="130"/>
    <cellStyle name="Финансовый 5 5 2" xfId="871"/>
    <cellStyle name="Финансовый 5 5 2 2" xfId="1920"/>
    <cellStyle name="Финансовый 5 5 2 2 2" xfId="6551"/>
    <cellStyle name="Финансовый 5 5 2 3" xfId="2703"/>
    <cellStyle name="Финансовый 5 5 2 3 2" xfId="6004"/>
    <cellStyle name="Финансовый 5 5 2 4" xfId="3456"/>
    <cellStyle name="Финансовый 5 5 2 4 2" xfId="8022"/>
    <cellStyle name="Финансовый 5 5 2 5" xfId="4197"/>
    <cellStyle name="Финансовый 5 5 2 6" xfId="4938"/>
    <cellStyle name="Финансовый 5 5 2 7" xfId="5679"/>
    <cellStyle name="Финансовый 5 5 3" xfId="870"/>
    <cellStyle name="Финансовый 5 5 3 2" xfId="6550"/>
    <cellStyle name="Финансовый 5 5 4" xfId="1919"/>
    <cellStyle name="Финансовый 5 5 5" xfId="2702"/>
    <cellStyle name="Финансовый 5 5 5 2" xfId="7946"/>
    <cellStyle name="Финансовый 5 5 6" xfId="3455"/>
    <cellStyle name="Финансовый 5 5 7" xfId="4196"/>
    <cellStyle name="Финансовый 5 5 8" xfId="4937"/>
    <cellStyle name="Финансовый 5 5 9" xfId="5678"/>
    <cellStyle name="Финансовый 5 50" xfId="1921"/>
    <cellStyle name="Финансовый 5 50 2" xfId="2636"/>
    <cellStyle name="Финансовый 5 50 2 2" xfId="6477"/>
    <cellStyle name="Финансовый 5 50 3" xfId="3389"/>
    <cellStyle name="Финансовый 5 50 3 2" xfId="6371"/>
    <cellStyle name="Финансовый 5 50 4" xfId="4130"/>
    <cellStyle name="Финансовый 5 50 4 2" xfId="8023"/>
    <cellStyle name="Финансовый 5 50 5" xfId="4871"/>
    <cellStyle name="Финансовый 5 50 6" xfId="5612"/>
    <cellStyle name="Финансовый 5 51" xfId="1839"/>
    <cellStyle name="Финансовый 5 51 2" xfId="5935"/>
    <cellStyle name="Финансовый 5 52" xfId="2209"/>
    <cellStyle name="Финансовый 5 52 2" xfId="6470"/>
    <cellStyle name="Финансовый 5 53" xfId="2958"/>
    <cellStyle name="Финансовый 5 53 2" xfId="7966"/>
    <cellStyle name="Финансовый 5 54" xfId="3699"/>
    <cellStyle name="Финансовый 5 55" xfId="4440"/>
    <cellStyle name="Финансовый 5 56" xfId="5186"/>
    <cellStyle name="Финансовый 5 6" xfId="135"/>
    <cellStyle name="Финансовый 5 6 2" xfId="873"/>
    <cellStyle name="Финансовый 5 6 2 2" xfId="1923"/>
    <cellStyle name="Финансовый 5 6 2 3" xfId="8025"/>
    <cellStyle name="Финансовый 5 6 3" xfId="872"/>
    <cellStyle name="Финансовый 5 6 3 2" xfId="6771"/>
    <cellStyle name="Финансовый 5 6 4" xfId="1922"/>
    <cellStyle name="Финансовый 5 6 4 2" xfId="8024"/>
    <cellStyle name="Финансовый 5 7" xfId="159"/>
    <cellStyle name="Финансовый 5 7 2" xfId="875"/>
    <cellStyle name="Финансовый 5 7 2 2" xfId="1925"/>
    <cellStyle name="Финансовый 5 7 2 2 2" xfId="6553"/>
    <cellStyle name="Финансовый 5 7 2 3" xfId="2705"/>
    <cellStyle name="Финансовый 5 7 2 3 2" xfId="6362"/>
    <cellStyle name="Финансовый 5 7 2 4" xfId="3458"/>
    <cellStyle name="Финансовый 5 7 2 4 2" xfId="8027"/>
    <cellStyle name="Финансовый 5 7 2 5" xfId="4199"/>
    <cellStyle name="Финансовый 5 7 2 6" xfId="4940"/>
    <cellStyle name="Финансовый 5 7 2 7" xfId="5681"/>
    <cellStyle name="Финансовый 5 7 3" xfId="874"/>
    <cellStyle name="Финансовый 5 7 3 2" xfId="6552"/>
    <cellStyle name="Финансовый 5 7 4" xfId="1924"/>
    <cellStyle name="Финансовый 5 7 5" xfId="2704"/>
    <cellStyle name="Финансовый 5 7 5 2" xfId="8026"/>
    <cellStyle name="Финансовый 5 7 6" xfId="3457"/>
    <cellStyle name="Финансовый 5 7 7" xfId="4198"/>
    <cellStyle name="Финансовый 5 7 8" xfId="4939"/>
    <cellStyle name="Финансовый 5 7 9" xfId="5680"/>
    <cellStyle name="Финансовый 5 8" xfId="174"/>
    <cellStyle name="Финансовый 5 8 2" xfId="877"/>
    <cellStyle name="Финансовый 5 8 2 2" xfId="1927"/>
    <cellStyle name="Финансовый 5 8 2 2 2" xfId="6555"/>
    <cellStyle name="Финансовый 5 8 2 3" xfId="2707"/>
    <cellStyle name="Финансовый 5 8 2 3 2" xfId="6734"/>
    <cellStyle name="Финансовый 5 8 2 4" xfId="3460"/>
    <cellStyle name="Финансовый 5 8 2 4 2" xfId="8049"/>
    <cellStyle name="Финансовый 5 8 2 5" xfId="4201"/>
    <cellStyle name="Финансовый 5 8 2 6" xfId="4942"/>
    <cellStyle name="Финансовый 5 8 2 7" xfId="5683"/>
    <cellStyle name="Финансовый 5 8 3" xfId="876"/>
    <cellStyle name="Финансовый 5 8 3 2" xfId="6554"/>
    <cellStyle name="Финансовый 5 8 4" xfId="1926"/>
    <cellStyle name="Финансовый 5 8 5" xfId="2706"/>
    <cellStyle name="Финансовый 5 8 5 2" xfId="8028"/>
    <cellStyle name="Финансовый 5 8 6" xfId="3459"/>
    <cellStyle name="Финансовый 5 8 7" xfId="4200"/>
    <cellStyle name="Финансовый 5 8 8" xfId="4941"/>
    <cellStyle name="Финансовый 5 8 9" xfId="5682"/>
    <cellStyle name="Финансовый 5 9" xfId="182"/>
    <cellStyle name="Финансовый 5 9 2" xfId="879"/>
    <cellStyle name="Финансовый 5 9 2 2" xfId="1929"/>
    <cellStyle name="Финансовый 5 9 2 3" xfId="8270"/>
    <cellStyle name="Финансовый 5 9 3" xfId="878"/>
    <cellStyle name="Финансовый 5 9 3 2" xfId="6359"/>
    <cellStyle name="Финансовый 5 9 4" xfId="1928"/>
    <cellStyle name="Финансовый 5 9 4 2" xfId="8263"/>
    <cellStyle name="Финансовый 6" xfId="66"/>
    <cellStyle name="Финансовый 6 10" xfId="197"/>
    <cellStyle name="Финансовый 6 10 2" xfId="882"/>
    <cellStyle name="Финансовый 6 10 2 2" xfId="1932"/>
    <cellStyle name="Финансовый 6 10 2 2 2" xfId="6560"/>
    <cellStyle name="Финансовый 6 10 2 3" xfId="2710"/>
    <cellStyle name="Финансовый 6 10 2 3 2" xfId="6405"/>
    <cellStyle name="Финансовый 6 10 2 4" xfId="3463"/>
    <cellStyle name="Финансовый 6 10 2 4 2" xfId="8337"/>
    <cellStyle name="Финансовый 6 10 2 5" xfId="4204"/>
    <cellStyle name="Финансовый 6 10 2 6" xfId="4945"/>
    <cellStyle name="Финансовый 6 10 2 7" xfId="5686"/>
    <cellStyle name="Финансовый 6 10 3" xfId="881"/>
    <cellStyle name="Финансовый 6 10 3 2" xfId="6559"/>
    <cellStyle name="Финансовый 6 10 4" xfId="1931"/>
    <cellStyle name="Финансовый 6 10 5" xfId="2709"/>
    <cellStyle name="Финансовый 6 10 5 2" xfId="8267"/>
    <cellStyle name="Финансовый 6 10 6" xfId="3462"/>
    <cellStyle name="Финансовый 6 10 7" xfId="4203"/>
    <cellStyle name="Финансовый 6 10 8" xfId="4944"/>
    <cellStyle name="Финансовый 6 10 9" xfId="5685"/>
    <cellStyle name="Финансовый 6 11" xfId="211"/>
    <cellStyle name="Финансовый 6 11 2" xfId="884"/>
    <cellStyle name="Финансовый 6 11 2 2" xfId="1934"/>
    <cellStyle name="Финансовый 6 11 2 2 2" xfId="6562"/>
    <cellStyle name="Финансовый 6 11 2 3" xfId="2712"/>
    <cellStyle name="Финансовый 6 11 2 3 2" xfId="6433"/>
    <cellStyle name="Финансовый 6 11 2 4" xfId="3465"/>
    <cellStyle name="Финансовый 6 11 2 4 2" xfId="8031"/>
    <cellStyle name="Финансовый 6 11 2 5" xfId="4206"/>
    <cellStyle name="Финансовый 6 11 2 6" xfId="4947"/>
    <cellStyle name="Финансовый 6 11 2 7" xfId="5688"/>
    <cellStyle name="Финансовый 6 11 3" xfId="883"/>
    <cellStyle name="Финансовый 6 11 3 2" xfId="6561"/>
    <cellStyle name="Финансовый 6 11 4" xfId="1933"/>
    <cellStyle name="Финансовый 6 11 5" xfId="2711"/>
    <cellStyle name="Финансовый 6 11 5 2" xfId="7386"/>
    <cellStyle name="Финансовый 6 11 6" xfId="3464"/>
    <cellStyle name="Финансовый 6 11 7" xfId="4205"/>
    <cellStyle name="Финансовый 6 11 8" xfId="4946"/>
    <cellStyle name="Финансовый 6 11 9" xfId="5687"/>
    <cellStyle name="Финансовый 6 12" xfId="225"/>
    <cellStyle name="Финансовый 6 12 2" xfId="886"/>
    <cellStyle name="Финансовый 6 12 2 2" xfId="1936"/>
    <cellStyle name="Финансовый 6 12 2 3" xfId="8033"/>
    <cellStyle name="Финансовый 6 12 3" xfId="885"/>
    <cellStyle name="Финансовый 6 12 3 2" xfId="6725"/>
    <cellStyle name="Финансовый 6 12 4" xfId="1935"/>
    <cellStyle name="Финансовый 6 12 4 2" xfId="8032"/>
    <cellStyle name="Финансовый 6 13" xfId="239"/>
    <cellStyle name="Финансовый 6 13 2" xfId="888"/>
    <cellStyle name="Финансовый 6 13 2 2" xfId="1938"/>
    <cellStyle name="Финансовый 6 13 2 2 2" xfId="6566"/>
    <cellStyle name="Финансовый 6 13 2 3" xfId="2714"/>
    <cellStyle name="Финансовый 6 13 2 3 2" xfId="6756"/>
    <cellStyle name="Финансовый 6 13 2 4" xfId="3467"/>
    <cellStyle name="Финансовый 6 13 2 4 2" xfId="8035"/>
    <cellStyle name="Финансовый 6 13 2 5" xfId="4208"/>
    <cellStyle name="Финансовый 6 13 2 6" xfId="4949"/>
    <cellStyle name="Финансовый 6 13 2 7" xfId="5690"/>
    <cellStyle name="Финансовый 6 13 3" xfId="887"/>
    <cellStyle name="Финансовый 6 13 3 2" xfId="6565"/>
    <cellStyle name="Финансовый 6 13 4" xfId="1937"/>
    <cellStyle name="Финансовый 6 13 5" xfId="2713"/>
    <cellStyle name="Финансовый 6 13 5 2" xfId="8034"/>
    <cellStyle name="Финансовый 6 13 6" xfId="3466"/>
    <cellStyle name="Финансовый 6 13 7" xfId="4207"/>
    <cellStyle name="Финансовый 6 13 8" xfId="4948"/>
    <cellStyle name="Финансовый 6 13 9" xfId="5689"/>
    <cellStyle name="Финансовый 6 14" xfId="889"/>
    <cellStyle name="Финансовый 6 14 2" xfId="1939"/>
    <cellStyle name="Финансовый 6 15" xfId="890"/>
    <cellStyle name="Финансовый 6 15 2" xfId="891"/>
    <cellStyle name="Финансовый 6 15 2 2" xfId="1941"/>
    <cellStyle name="Финансовый 6 15 2 2 2" xfId="6569"/>
    <cellStyle name="Финансовый 6 15 2 3" xfId="2716"/>
    <cellStyle name="Финансовый 6 15 2 3 2" xfId="7156"/>
    <cellStyle name="Финансовый 6 15 2 4" xfId="3469"/>
    <cellStyle name="Финансовый 6 15 2 4 2" xfId="8266"/>
    <cellStyle name="Финансовый 6 15 2 5" xfId="4210"/>
    <cellStyle name="Финансовый 6 15 2 6" xfId="4951"/>
    <cellStyle name="Финансовый 6 15 2 7" xfId="5692"/>
    <cellStyle name="Финансовый 6 15 3" xfId="1940"/>
    <cellStyle name="Финансовый 6 15 3 2" xfId="6568"/>
    <cellStyle name="Финансовый 6 15 4" xfId="2715"/>
    <cellStyle name="Финансовый 6 15 4 2" xfId="7154"/>
    <cellStyle name="Финансовый 6 15 5" xfId="3468"/>
    <cellStyle name="Финансовый 6 15 5 2" xfId="8036"/>
    <cellStyle name="Финансовый 6 15 6" xfId="4209"/>
    <cellStyle name="Финансовый 6 15 7" xfId="4950"/>
    <cellStyle name="Финансовый 6 15 8" xfId="5691"/>
    <cellStyle name="Финансовый 6 16" xfId="892"/>
    <cellStyle name="Финансовый 6 16 2" xfId="893"/>
    <cellStyle name="Финансовый 6 16 2 2" xfId="1943"/>
    <cellStyle name="Финансовый 6 16 2 2 2" xfId="6571"/>
    <cellStyle name="Финансовый 6 16 2 3" xfId="2718"/>
    <cellStyle name="Финансовый 6 16 2 3 2" xfId="7163"/>
    <cellStyle name="Финансовый 6 16 2 4" xfId="3471"/>
    <cellStyle name="Финансовый 6 16 2 4 2" xfId="8038"/>
    <cellStyle name="Финансовый 6 16 2 5" xfId="4212"/>
    <cellStyle name="Финансовый 6 16 2 6" xfId="4953"/>
    <cellStyle name="Финансовый 6 16 2 7" xfId="5694"/>
    <cellStyle name="Финансовый 6 16 3" xfId="1942"/>
    <cellStyle name="Финансовый 6 16 3 2" xfId="6570"/>
    <cellStyle name="Финансовый 6 16 4" xfId="2717"/>
    <cellStyle name="Финансовый 6 16 4 2" xfId="6772"/>
    <cellStyle name="Финансовый 6 16 5" xfId="3470"/>
    <cellStyle name="Финансовый 6 16 5 2" xfId="8037"/>
    <cellStyle name="Финансовый 6 16 6" xfId="4211"/>
    <cellStyle name="Финансовый 6 16 7" xfId="4952"/>
    <cellStyle name="Финансовый 6 16 8" xfId="5693"/>
    <cellStyle name="Финансовый 6 17" xfId="894"/>
    <cellStyle name="Финансовый 6 17 2" xfId="895"/>
    <cellStyle name="Финансовый 6 17 2 2" xfId="1945"/>
    <cellStyle name="Финансовый 6 17 2 2 2" xfId="6573"/>
    <cellStyle name="Финансовый 6 17 2 3" xfId="2720"/>
    <cellStyle name="Финансовый 6 17 2 3 2" xfId="5922"/>
    <cellStyle name="Финансовый 6 17 2 4" xfId="3473"/>
    <cellStyle name="Финансовый 6 17 2 4 2" xfId="8040"/>
    <cellStyle name="Финансовый 6 17 2 5" xfId="4214"/>
    <cellStyle name="Финансовый 6 17 2 6" xfId="4955"/>
    <cellStyle name="Финансовый 6 17 2 7" xfId="5696"/>
    <cellStyle name="Финансовый 6 17 3" xfId="1944"/>
    <cellStyle name="Финансовый 6 17 3 2" xfId="6572"/>
    <cellStyle name="Финансовый 6 17 4" xfId="2719"/>
    <cellStyle name="Финансовый 6 17 4 2" xfId="7211"/>
    <cellStyle name="Финансовый 6 17 5" xfId="3472"/>
    <cellStyle name="Финансовый 6 17 5 2" xfId="8039"/>
    <cellStyle name="Финансовый 6 17 6" xfId="4213"/>
    <cellStyle name="Финансовый 6 17 7" xfId="4954"/>
    <cellStyle name="Финансовый 6 17 8" xfId="5695"/>
    <cellStyle name="Финансовый 6 18" xfId="896"/>
    <cellStyle name="Финансовый 6 18 2" xfId="897"/>
    <cellStyle name="Финансовый 6 18 2 2" xfId="1947"/>
    <cellStyle name="Финансовый 6 18 2 2 2" xfId="6575"/>
    <cellStyle name="Финансовый 6 18 2 3" xfId="2722"/>
    <cellStyle name="Финансовый 6 18 2 3 2" xfId="6363"/>
    <cellStyle name="Финансовый 6 18 2 4" xfId="3475"/>
    <cellStyle name="Финансовый 6 18 2 4 2" xfId="8042"/>
    <cellStyle name="Финансовый 6 18 2 5" xfId="4216"/>
    <cellStyle name="Финансовый 6 18 2 6" xfId="4957"/>
    <cellStyle name="Финансовый 6 18 2 7" xfId="5698"/>
    <cellStyle name="Финансовый 6 18 3" xfId="1946"/>
    <cellStyle name="Финансовый 6 18 3 2" xfId="6574"/>
    <cellStyle name="Финансовый 6 18 4" xfId="2721"/>
    <cellStyle name="Финансовый 6 18 4 2" xfId="6733"/>
    <cellStyle name="Финансовый 6 18 5" xfId="3474"/>
    <cellStyle name="Финансовый 6 18 5 2" xfId="8041"/>
    <cellStyle name="Финансовый 6 18 6" xfId="4215"/>
    <cellStyle name="Финансовый 6 18 7" xfId="4956"/>
    <cellStyle name="Финансовый 6 18 8" xfId="5697"/>
    <cellStyle name="Финансовый 6 19" xfId="898"/>
    <cellStyle name="Финансовый 6 19 2" xfId="899"/>
    <cellStyle name="Финансовый 6 19 2 2" xfId="1949"/>
    <cellStyle name="Финансовый 6 19 2 2 2" xfId="6577"/>
    <cellStyle name="Финансовый 6 19 2 3" xfId="2724"/>
    <cellStyle name="Финансовый 6 19 2 3 2" xfId="6006"/>
    <cellStyle name="Финансовый 6 19 2 4" xfId="3477"/>
    <cellStyle name="Финансовый 6 19 2 4 2" xfId="8044"/>
    <cellStyle name="Финансовый 6 19 2 5" xfId="4218"/>
    <cellStyle name="Финансовый 6 19 2 6" xfId="4959"/>
    <cellStyle name="Финансовый 6 19 2 7" xfId="5700"/>
    <cellStyle name="Финансовый 6 19 3" xfId="1948"/>
    <cellStyle name="Финансовый 6 19 3 2" xfId="6576"/>
    <cellStyle name="Финансовый 6 19 4" xfId="2723"/>
    <cellStyle name="Финансовый 6 19 4 2" xfId="7194"/>
    <cellStyle name="Финансовый 6 19 5" xfId="3476"/>
    <cellStyle name="Финансовый 6 19 5 2" xfId="8043"/>
    <cellStyle name="Финансовый 6 19 6" xfId="4217"/>
    <cellStyle name="Финансовый 6 19 7" xfId="4958"/>
    <cellStyle name="Финансовый 6 19 8" xfId="5699"/>
    <cellStyle name="Финансовый 6 2" xfId="80"/>
    <cellStyle name="Финансовый 6 2 10" xfId="5701"/>
    <cellStyle name="Финансовый 6 2 2" xfId="901"/>
    <cellStyle name="Финансовый 6 2 2 2" xfId="1951"/>
    <cellStyle name="Финансовый 6 2 2 2 2" xfId="6579"/>
    <cellStyle name="Финансовый 6 2 2 3" xfId="2726"/>
    <cellStyle name="Финансовый 6 2 2 3 2" xfId="7308"/>
    <cellStyle name="Финансовый 6 2 2 4" xfId="3479"/>
    <cellStyle name="Финансовый 6 2 2 4 2" xfId="8046"/>
    <cellStyle name="Финансовый 6 2 2 5" xfId="4220"/>
    <cellStyle name="Финансовый 6 2 2 6" xfId="4961"/>
    <cellStyle name="Финансовый 6 2 2 7" xfId="5702"/>
    <cellStyle name="Финансовый 6 2 3" xfId="900"/>
    <cellStyle name="Финансовый 6 2 3 2" xfId="1952"/>
    <cellStyle name="Финансовый 6 2 3 2 2" xfId="6580"/>
    <cellStyle name="Финансовый 6 2 3 3" xfId="2727"/>
    <cellStyle name="Финансовый 6 2 3 3 2" xfId="6773"/>
    <cellStyle name="Финансовый 6 2 3 4" xfId="3480"/>
    <cellStyle name="Финансовый 6 2 3 4 2" xfId="8047"/>
    <cellStyle name="Финансовый 6 2 3 5" xfId="4221"/>
    <cellStyle name="Финансовый 6 2 3 6" xfId="4962"/>
    <cellStyle name="Финансовый 6 2 3 7" xfId="5703"/>
    <cellStyle name="Финансовый 6 2 4" xfId="1953"/>
    <cellStyle name="Финансовый 6 2 4 2" xfId="2935"/>
    <cellStyle name="Финансовый 6 2 4 2 2" xfId="6847"/>
    <cellStyle name="Финансовый 6 2 4 3" xfId="3676"/>
    <cellStyle name="Финансовый 6 2 4 3 2" xfId="7333"/>
    <cellStyle name="Финансовый 6 2 4 4" xfId="4417"/>
    <cellStyle name="Финансовый 6 2 4 4 2" xfId="8048"/>
    <cellStyle name="Финансовый 6 2 4 5" xfId="5158"/>
    <cellStyle name="Финансовый 6 2 4 6" xfId="5899"/>
    <cellStyle name="Финансовый 6 2 5" xfId="1950"/>
    <cellStyle name="Финансовый 6 2 5 2" xfId="6578"/>
    <cellStyle name="Финансовый 6 2 6" xfId="2725"/>
    <cellStyle name="Финансовый 6 2 6 2" xfId="7191"/>
    <cellStyle name="Финансовый 6 2 7" xfId="3478"/>
    <cellStyle name="Финансовый 6 2 7 2" xfId="8045"/>
    <cellStyle name="Финансовый 6 2 8" xfId="4219"/>
    <cellStyle name="Финансовый 6 2 9" xfId="4960"/>
    <cellStyle name="Финансовый 6 20" xfId="902"/>
    <cellStyle name="Финансовый 6 20 2" xfId="903"/>
    <cellStyle name="Финансовый 6 20 2 2" xfId="1955"/>
    <cellStyle name="Финансовый 6 20 2 2 2" xfId="6582"/>
    <cellStyle name="Финансовый 6 20 2 3" xfId="2729"/>
    <cellStyle name="Финансовый 6 20 2 3 2" xfId="6458"/>
    <cellStyle name="Финансовый 6 20 2 4" xfId="3482"/>
    <cellStyle name="Финансовый 6 20 2 4 2" xfId="8050"/>
    <cellStyle name="Финансовый 6 20 2 5" xfId="4223"/>
    <cellStyle name="Финансовый 6 20 2 6" xfId="4964"/>
    <cellStyle name="Финансовый 6 20 2 7" xfId="5705"/>
    <cellStyle name="Финансовый 6 20 3" xfId="1954"/>
    <cellStyle name="Финансовый 6 20 3 2" xfId="6581"/>
    <cellStyle name="Финансовый 6 20 4" xfId="2728"/>
    <cellStyle name="Финансовый 6 20 4 2" xfId="7224"/>
    <cellStyle name="Финансовый 6 20 5" xfId="3481"/>
    <cellStyle name="Финансовый 6 20 5 2" xfId="8235"/>
    <cellStyle name="Финансовый 6 20 6" xfId="4222"/>
    <cellStyle name="Финансовый 6 20 7" xfId="4963"/>
    <cellStyle name="Финансовый 6 20 8" xfId="5704"/>
    <cellStyle name="Финансовый 6 21" xfId="904"/>
    <cellStyle name="Финансовый 6 21 2" xfId="905"/>
    <cellStyle name="Финансовый 6 21 2 2" xfId="1957"/>
    <cellStyle name="Финансовый 6 21 2 2 2" xfId="6584"/>
    <cellStyle name="Финансовый 6 21 2 3" xfId="2731"/>
    <cellStyle name="Финансовый 6 21 2 3 2" xfId="6739"/>
    <cellStyle name="Финансовый 6 21 2 4" xfId="3484"/>
    <cellStyle name="Финансовый 6 21 2 4 2" xfId="8323"/>
    <cellStyle name="Финансовый 6 21 2 5" xfId="4225"/>
    <cellStyle name="Финансовый 6 21 2 6" xfId="4966"/>
    <cellStyle name="Финансовый 6 21 2 7" xfId="5707"/>
    <cellStyle name="Финансовый 6 21 3" xfId="1956"/>
    <cellStyle name="Финансовый 6 21 3 2" xfId="6583"/>
    <cellStyle name="Финансовый 6 21 4" xfId="2730"/>
    <cellStyle name="Финансовый 6 21 4 2" xfId="5930"/>
    <cellStyle name="Финансовый 6 21 5" xfId="3483"/>
    <cellStyle name="Финансовый 6 21 5 2" xfId="8051"/>
    <cellStyle name="Финансовый 6 21 6" xfId="4224"/>
    <cellStyle name="Финансовый 6 21 7" xfId="4965"/>
    <cellStyle name="Финансовый 6 21 8" xfId="5706"/>
    <cellStyle name="Финансовый 6 22" xfId="906"/>
    <cellStyle name="Финансовый 6 22 2" xfId="907"/>
    <cellStyle name="Финансовый 6 22 2 2" xfId="1959"/>
    <cellStyle name="Финансовый 6 22 2 2 2" xfId="6586"/>
    <cellStyle name="Финансовый 6 22 2 3" xfId="2733"/>
    <cellStyle name="Финансовый 6 22 2 3 2" xfId="6540"/>
    <cellStyle name="Финансовый 6 22 2 4" xfId="3486"/>
    <cellStyle name="Финансовый 6 22 2 4 2" xfId="8053"/>
    <cellStyle name="Финансовый 6 22 2 5" xfId="4227"/>
    <cellStyle name="Финансовый 6 22 2 6" xfId="4968"/>
    <cellStyle name="Финансовый 6 22 2 7" xfId="5709"/>
    <cellStyle name="Финансовый 6 22 3" xfId="1958"/>
    <cellStyle name="Финансовый 6 22 3 2" xfId="6585"/>
    <cellStyle name="Финансовый 6 22 4" xfId="2732"/>
    <cellStyle name="Финансовый 6 22 4 2" xfId="6007"/>
    <cellStyle name="Финансовый 6 22 5" xfId="3485"/>
    <cellStyle name="Финансовый 6 22 5 2" xfId="8052"/>
    <cellStyle name="Финансовый 6 22 6" xfId="4226"/>
    <cellStyle name="Финансовый 6 22 7" xfId="4967"/>
    <cellStyle name="Финансовый 6 22 8" xfId="5708"/>
    <cellStyle name="Финансовый 6 23" xfId="908"/>
    <cellStyle name="Финансовый 6 23 2" xfId="909"/>
    <cellStyle name="Финансовый 6 23 2 2" xfId="1961"/>
    <cellStyle name="Финансовый 6 23 2 2 2" xfId="6588"/>
    <cellStyle name="Финансовый 6 23 2 3" xfId="2735"/>
    <cellStyle name="Финансовый 6 23 2 3 2" xfId="7196"/>
    <cellStyle name="Финансовый 6 23 2 4" xfId="3488"/>
    <cellStyle name="Финансовый 6 23 2 4 2" xfId="8055"/>
    <cellStyle name="Финансовый 6 23 2 5" xfId="4229"/>
    <cellStyle name="Финансовый 6 23 2 6" xfId="4970"/>
    <cellStyle name="Финансовый 6 23 2 7" xfId="5711"/>
    <cellStyle name="Финансовый 6 23 3" xfId="1960"/>
    <cellStyle name="Финансовый 6 23 3 2" xfId="6587"/>
    <cellStyle name="Финансовый 6 23 4" xfId="2734"/>
    <cellStyle name="Финансовый 6 23 4 2" xfId="6008"/>
    <cellStyle name="Финансовый 6 23 5" xfId="3487"/>
    <cellStyle name="Финансовый 6 23 5 2" xfId="8054"/>
    <cellStyle name="Финансовый 6 23 6" xfId="4228"/>
    <cellStyle name="Финансовый 6 23 7" xfId="4969"/>
    <cellStyle name="Финансовый 6 23 8" xfId="5710"/>
    <cellStyle name="Финансовый 6 24" xfId="910"/>
    <cellStyle name="Финансовый 6 24 2" xfId="911"/>
    <cellStyle name="Финансовый 6 24 2 2" xfId="1963"/>
    <cellStyle name="Финансовый 6 24 2 2 2" xfId="6590"/>
    <cellStyle name="Финансовый 6 24 2 3" xfId="2737"/>
    <cellStyle name="Финансовый 6 24 2 3 2" xfId="5920"/>
    <cellStyle name="Финансовый 6 24 2 4" xfId="3490"/>
    <cellStyle name="Финансовый 6 24 2 4 2" xfId="8057"/>
    <cellStyle name="Финансовый 6 24 2 5" xfId="4231"/>
    <cellStyle name="Финансовый 6 24 2 6" xfId="4972"/>
    <cellStyle name="Финансовый 6 24 2 7" xfId="5713"/>
    <cellStyle name="Финансовый 6 24 3" xfId="1962"/>
    <cellStyle name="Финансовый 6 24 3 2" xfId="6589"/>
    <cellStyle name="Финансовый 6 24 4" xfId="2736"/>
    <cellStyle name="Финансовый 6 24 4 2" xfId="6759"/>
    <cellStyle name="Финансовый 6 24 5" xfId="3489"/>
    <cellStyle name="Финансовый 6 24 5 2" xfId="8056"/>
    <cellStyle name="Финансовый 6 24 6" xfId="4230"/>
    <cellStyle name="Финансовый 6 24 7" xfId="4971"/>
    <cellStyle name="Финансовый 6 24 8" xfId="5712"/>
    <cellStyle name="Финансовый 6 25" xfId="912"/>
    <cellStyle name="Финансовый 6 25 2" xfId="913"/>
    <cellStyle name="Финансовый 6 25 2 2" xfId="1965"/>
    <cellStyle name="Финансовый 6 25 2 2 2" xfId="6592"/>
    <cellStyle name="Финансовый 6 25 2 3" xfId="2739"/>
    <cellStyle name="Финансовый 6 25 2 3 2" xfId="6729"/>
    <cellStyle name="Финансовый 6 25 2 4" xfId="3492"/>
    <cellStyle name="Финансовый 6 25 2 4 2" xfId="8059"/>
    <cellStyle name="Финансовый 6 25 2 5" xfId="4233"/>
    <cellStyle name="Финансовый 6 25 2 6" xfId="4974"/>
    <cellStyle name="Финансовый 6 25 2 7" xfId="5715"/>
    <cellStyle name="Финансовый 6 25 3" xfId="1964"/>
    <cellStyle name="Финансовый 6 25 3 2" xfId="6591"/>
    <cellStyle name="Финансовый 6 25 4" xfId="2738"/>
    <cellStyle name="Финансовый 6 25 4 2" xfId="6009"/>
    <cellStyle name="Финансовый 6 25 5" xfId="3491"/>
    <cellStyle name="Финансовый 6 25 5 2" xfId="8058"/>
    <cellStyle name="Финансовый 6 25 6" xfId="4232"/>
    <cellStyle name="Финансовый 6 25 7" xfId="4973"/>
    <cellStyle name="Финансовый 6 25 8" xfId="5714"/>
    <cellStyle name="Финансовый 6 26" xfId="914"/>
    <cellStyle name="Финансовый 6 26 2" xfId="915"/>
    <cellStyle name="Финансовый 6 26 2 2" xfId="1967"/>
    <cellStyle name="Финансовый 6 26 2 2 2" xfId="6594"/>
    <cellStyle name="Финансовый 6 26 2 3" xfId="2741"/>
    <cellStyle name="Финансовый 6 26 2 3 2" xfId="6010"/>
    <cellStyle name="Финансовый 6 26 2 4" xfId="3494"/>
    <cellStyle name="Финансовый 6 26 2 4 2" xfId="8061"/>
    <cellStyle name="Финансовый 6 26 2 5" xfId="4235"/>
    <cellStyle name="Финансовый 6 26 2 6" xfId="4976"/>
    <cellStyle name="Финансовый 6 26 2 7" xfId="5717"/>
    <cellStyle name="Финансовый 6 26 3" xfId="1966"/>
    <cellStyle name="Финансовый 6 26 3 2" xfId="6593"/>
    <cellStyle name="Финансовый 6 26 4" xfId="2740"/>
    <cellStyle name="Финансовый 6 26 4 2" xfId="6757"/>
    <cellStyle name="Финансовый 6 26 5" xfId="3493"/>
    <cellStyle name="Финансовый 6 26 5 2" xfId="8248"/>
    <cellStyle name="Финансовый 6 26 6" xfId="4234"/>
    <cellStyle name="Финансовый 6 26 7" xfId="4975"/>
    <cellStyle name="Финансовый 6 26 8" xfId="5716"/>
    <cellStyle name="Финансовый 6 27" xfId="916"/>
    <cellStyle name="Финансовый 6 27 2" xfId="917"/>
    <cellStyle name="Финансовый 6 27 2 2" xfId="1969"/>
    <cellStyle name="Финансовый 6 27 2 3" xfId="8246"/>
    <cellStyle name="Финансовый 6 27 3" xfId="1968"/>
    <cellStyle name="Финансовый 6 27 4" xfId="8062"/>
    <cellStyle name="Финансовый 6 28" xfId="918"/>
    <cellStyle name="Финансовый 6 28 2" xfId="919"/>
    <cellStyle name="Финансовый 6 28 2 2" xfId="1971"/>
    <cellStyle name="Финансовый 6 28 2 2 2" xfId="6597"/>
    <cellStyle name="Финансовый 6 28 2 3" xfId="2743"/>
    <cellStyle name="Финансовый 6 28 2 3 2" xfId="6011"/>
    <cellStyle name="Финансовый 6 28 2 4" xfId="3496"/>
    <cellStyle name="Финансовый 6 28 2 4 2" xfId="7452"/>
    <cellStyle name="Финансовый 6 28 2 5" xfId="4237"/>
    <cellStyle name="Финансовый 6 28 2 6" xfId="4978"/>
    <cellStyle name="Финансовый 6 28 2 7" xfId="5719"/>
    <cellStyle name="Финансовый 6 28 3" xfId="1970"/>
    <cellStyle name="Финансовый 6 28 3 2" xfId="6596"/>
    <cellStyle name="Финансовый 6 28 4" xfId="2742"/>
    <cellStyle name="Финансовый 6 28 4 2" xfId="5931"/>
    <cellStyle name="Финансовый 6 28 5" xfId="3495"/>
    <cellStyle name="Финансовый 6 28 5 2" xfId="8249"/>
    <cellStyle name="Финансовый 6 28 6" xfId="4236"/>
    <cellStyle name="Финансовый 6 28 7" xfId="4977"/>
    <cellStyle name="Финансовый 6 28 8" xfId="5718"/>
    <cellStyle name="Финансовый 6 29" xfId="920"/>
    <cellStyle name="Финансовый 6 29 2" xfId="921"/>
    <cellStyle name="Финансовый 6 29 2 2" xfId="1973"/>
    <cellStyle name="Финансовый 6 29 2 2 2" xfId="6599"/>
    <cellStyle name="Финансовый 6 29 2 3" xfId="2745"/>
    <cellStyle name="Финансовый 6 29 2 3 2" xfId="7313"/>
    <cellStyle name="Финансовый 6 29 2 4" xfId="3498"/>
    <cellStyle name="Финансовый 6 29 2 4 2" xfId="8064"/>
    <cellStyle name="Финансовый 6 29 2 5" xfId="4239"/>
    <cellStyle name="Финансовый 6 29 2 6" xfId="4980"/>
    <cellStyle name="Финансовый 6 29 2 7" xfId="5721"/>
    <cellStyle name="Финансовый 6 29 3" xfId="1972"/>
    <cellStyle name="Финансовый 6 29 3 2" xfId="6598"/>
    <cellStyle name="Финансовый 6 29 4" xfId="2744"/>
    <cellStyle name="Финансовый 6 29 4 2" xfId="5921"/>
    <cellStyle name="Финансовый 6 29 5" xfId="3497"/>
    <cellStyle name="Финансовый 6 29 5 2" xfId="8063"/>
    <cellStyle name="Финансовый 6 29 6" xfId="4238"/>
    <cellStyle name="Финансовый 6 29 7" xfId="4979"/>
    <cellStyle name="Финансовый 6 29 8" xfId="5720"/>
    <cellStyle name="Финансовый 6 3" xfId="96"/>
    <cellStyle name="Финансовый 6 3 2" xfId="923"/>
    <cellStyle name="Финансовый 6 3 2 2" xfId="1975"/>
    <cellStyle name="Финансовый 6 3 2 2 2" xfId="6601"/>
    <cellStyle name="Финансовый 6 3 2 3" xfId="2747"/>
    <cellStyle name="Финансовый 6 3 2 3 2" xfId="6269"/>
    <cellStyle name="Финансовый 6 3 2 4" xfId="3500"/>
    <cellStyle name="Финансовый 6 3 2 4 2" xfId="8066"/>
    <cellStyle name="Финансовый 6 3 2 5" xfId="4241"/>
    <cellStyle name="Финансовый 6 3 2 6" xfId="4982"/>
    <cellStyle name="Финансовый 6 3 2 7" xfId="5723"/>
    <cellStyle name="Финансовый 6 3 3" xfId="922"/>
    <cellStyle name="Финансовый 6 3 3 2" xfId="1976"/>
    <cellStyle name="Финансовый 6 3 3 2 2" xfId="6835"/>
    <cellStyle name="Финансовый 6 3 3 3" xfId="2923"/>
    <cellStyle name="Финансовый 6 3 3 3 2" xfId="6012"/>
    <cellStyle name="Финансовый 6 3 3 4" xfId="3664"/>
    <cellStyle name="Финансовый 6 3 3 4 2" xfId="8067"/>
    <cellStyle name="Финансовый 6 3 3 5" xfId="4405"/>
    <cellStyle name="Финансовый 6 3 3 6" xfId="5146"/>
    <cellStyle name="Финансовый 6 3 3 7" xfId="5887"/>
    <cellStyle name="Финансовый 6 3 4" xfId="1974"/>
    <cellStyle name="Финансовый 6 3 4 2" xfId="6600"/>
    <cellStyle name="Финансовый 6 3 5" xfId="2746"/>
    <cellStyle name="Финансовый 6 3 5 2" xfId="6242"/>
    <cellStyle name="Финансовый 6 3 6" xfId="3499"/>
    <cellStyle name="Финансовый 6 3 6 2" xfId="8065"/>
    <cellStyle name="Финансовый 6 3 7" xfId="4240"/>
    <cellStyle name="Финансовый 6 3 8" xfId="4981"/>
    <cellStyle name="Финансовый 6 3 9" xfId="5722"/>
    <cellStyle name="Финансовый 6 30" xfId="924"/>
    <cellStyle name="Финансовый 6 30 2" xfId="925"/>
    <cellStyle name="Финансовый 6 30 2 2" xfId="1978"/>
    <cellStyle name="Финансовый 6 30 2 2 2" xfId="6603"/>
    <cellStyle name="Финансовый 6 30 2 3" xfId="2749"/>
    <cellStyle name="Финансовый 6 30 2 3 2" xfId="7272"/>
    <cellStyle name="Финансовый 6 30 2 4" xfId="3502"/>
    <cellStyle name="Финансовый 6 30 2 4 2" xfId="8069"/>
    <cellStyle name="Финансовый 6 30 2 5" xfId="4243"/>
    <cellStyle name="Финансовый 6 30 2 6" xfId="4984"/>
    <cellStyle name="Финансовый 6 30 2 7" xfId="5725"/>
    <cellStyle name="Финансовый 6 30 3" xfId="1977"/>
    <cellStyle name="Финансовый 6 30 3 2" xfId="6602"/>
    <cellStyle name="Финансовый 6 30 4" xfId="2748"/>
    <cellStyle name="Финансовый 6 30 4 2" xfId="7265"/>
    <cellStyle name="Финансовый 6 30 5" xfId="3501"/>
    <cellStyle name="Финансовый 6 30 5 2" xfId="8068"/>
    <cellStyle name="Финансовый 6 30 6" xfId="4242"/>
    <cellStyle name="Финансовый 6 30 7" xfId="4983"/>
    <cellStyle name="Финансовый 6 30 8" xfId="5724"/>
    <cellStyle name="Финансовый 6 31" xfId="926"/>
    <cellStyle name="Финансовый 6 31 2" xfId="927"/>
    <cellStyle name="Финансовый 6 31 2 2" xfId="1980"/>
    <cellStyle name="Финансовый 6 31 2 2 2" xfId="6605"/>
    <cellStyle name="Финансовый 6 31 2 3" xfId="2751"/>
    <cellStyle name="Финансовый 6 31 2 3 2" xfId="7259"/>
    <cellStyle name="Финансовый 6 31 2 4" xfId="3504"/>
    <cellStyle name="Финансовый 6 31 2 4 2" xfId="8091"/>
    <cellStyle name="Финансовый 6 31 2 5" xfId="4245"/>
    <cellStyle name="Финансовый 6 31 2 6" xfId="4986"/>
    <cellStyle name="Финансовый 6 31 2 7" xfId="5727"/>
    <cellStyle name="Финансовый 6 31 3" xfId="1979"/>
    <cellStyle name="Финансовый 6 31 3 2" xfId="6604"/>
    <cellStyle name="Финансовый 6 31 4" xfId="2750"/>
    <cellStyle name="Финансовый 6 31 4 2" xfId="6475"/>
    <cellStyle name="Финансовый 6 31 5" xfId="3503"/>
    <cellStyle name="Финансовый 6 31 5 2" xfId="8070"/>
    <cellStyle name="Финансовый 6 31 6" xfId="4244"/>
    <cellStyle name="Финансовый 6 31 7" xfId="4985"/>
    <cellStyle name="Финансовый 6 31 8" xfId="5726"/>
    <cellStyle name="Финансовый 6 32" xfId="928"/>
    <cellStyle name="Финансовый 6 32 2" xfId="929"/>
    <cellStyle name="Финансовый 6 32 2 2" xfId="1982"/>
    <cellStyle name="Финансовый 6 32 2 2 2" xfId="6607"/>
    <cellStyle name="Финансовый 6 32 2 3" xfId="2753"/>
    <cellStyle name="Финансовый 6 32 2 3 2" xfId="6046"/>
    <cellStyle name="Финансовый 6 32 2 4" xfId="3506"/>
    <cellStyle name="Финансовый 6 32 2 4 2" xfId="7427"/>
    <cellStyle name="Финансовый 6 32 2 5" xfId="4247"/>
    <cellStyle name="Финансовый 6 32 2 6" xfId="4988"/>
    <cellStyle name="Финансовый 6 32 2 7" xfId="5729"/>
    <cellStyle name="Финансовый 6 32 3" xfId="1981"/>
    <cellStyle name="Финансовый 6 32 3 2" xfId="6606"/>
    <cellStyle name="Финансовый 6 32 4" xfId="2752"/>
    <cellStyle name="Финансовый 6 32 4 2" xfId="6013"/>
    <cellStyle name="Финансовый 6 32 5" xfId="3505"/>
    <cellStyle name="Финансовый 6 32 5 2" xfId="7432"/>
    <cellStyle name="Финансовый 6 32 6" xfId="4246"/>
    <cellStyle name="Финансовый 6 32 7" xfId="4987"/>
    <cellStyle name="Финансовый 6 32 8" xfId="5728"/>
    <cellStyle name="Финансовый 6 33" xfId="930"/>
    <cellStyle name="Финансовый 6 33 2" xfId="931"/>
    <cellStyle name="Финансовый 6 33 2 2" xfId="1984"/>
    <cellStyle name="Финансовый 6 33 2 2 2" xfId="6609"/>
    <cellStyle name="Финансовый 6 33 2 3" xfId="2755"/>
    <cellStyle name="Финансовый 6 33 2 3 2" xfId="6287"/>
    <cellStyle name="Финансовый 6 33 2 4" xfId="3508"/>
    <cellStyle name="Финансовый 6 33 2 4 2" xfId="7438"/>
    <cellStyle name="Финансовый 6 33 2 5" xfId="4249"/>
    <cellStyle name="Финансовый 6 33 2 6" xfId="4990"/>
    <cellStyle name="Финансовый 6 33 2 7" xfId="5731"/>
    <cellStyle name="Финансовый 6 33 3" xfId="1983"/>
    <cellStyle name="Финансовый 6 33 3 2" xfId="6608"/>
    <cellStyle name="Финансовый 6 33 4" xfId="2754"/>
    <cellStyle name="Финансовый 6 33 4 2" xfId="6386"/>
    <cellStyle name="Финансовый 6 33 5" xfId="3507"/>
    <cellStyle name="Финансовый 6 33 5 2" xfId="8071"/>
    <cellStyle name="Финансовый 6 33 6" xfId="4248"/>
    <cellStyle name="Финансовый 6 33 7" xfId="4989"/>
    <cellStyle name="Финансовый 6 33 8" xfId="5730"/>
    <cellStyle name="Финансовый 6 34" xfId="932"/>
    <cellStyle name="Финансовый 6 34 2" xfId="933"/>
    <cellStyle name="Финансовый 6 34 2 2" xfId="1986"/>
    <cellStyle name="Финансовый 6 34 2 2 2" xfId="6611"/>
    <cellStyle name="Финансовый 6 34 2 3" xfId="2757"/>
    <cellStyle name="Финансовый 6 34 2 3 2" xfId="6326"/>
    <cellStyle name="Финансовый 6 34 2 4" xfId="3510"/>
    <cellStyle name="Финансовый 6 34 2 4 2" xfId="8072"/>
    <cellStyle name="Финансовый 6 34 2 5" xfId="4251"/>
    <cellStyle name="Финансовый 6 34 2 6" xfId="4992"/>
    <cellStyle name="Финансовый 6 34 2 7" xfId="5733"/>
    <cellStyle name="Финансовый 6 34 3" xfId="1985"/>
    <cellStyle name="Финансовый 6 34 3 2" xfId="6610"/>
    <cellStyle name="Финансовый 6 34 4" xfId="2756"/>
    <cellStyle name="Финансовый 6 34 4 2" xfId="6731"/>
    <cellStyle name="Финансовый 6 34 5" xfId="3509"/>
    <cellStyle name="Финансовый 6 34 5 2" xfId="7444"/>
    <cellStyle name="Финансовый 6 34 6" xfId="4250"/>
    <cellStyle name="Финансовый 6 34 7" xfId="4991"/>
    <cellStyle name="Финансовый 6 34 8" xfId="5732"/>
    <cellStyle name="Финансовый 6 35" xfId="934"/>
    <cellStyle name="Финансовый 6 35 2" xfId="935"/>
    <cellStyle name="Финансовый 6 35 2 2" xfId="1988"/>
    <cellStyle name="Финансовый 6 35 2 2 2" xfId="6613"/>
    <cellStyle name="Финансовый 6 35 2 3" xfId="2759"/>
    <cellStyle name="Финансовый 6 35 2 3 2" xfId="7256"/>
    <cellStyle name="Финансовый 6 35 2 4" xfId="3512"/>
    <cellStyle name="Финансовый 6 35 2 4 2" xfId="8312"/>
    <cellStyle name="Финансовый 6 35 2 5" xfId="4253"/>
    <cellStyle name="Финансовый 6 35 2 6" xfId="4994"/>
    <cellStyle name="Финансовый 6 35 2 7" xfId="5735"/>
    <cellStyle name="Финансовый 6 35 3" xfId="1987"/>
    <cellStyle name="Финансовый 6 35 3 2" xfId="6612"/>
    <cellStyle name="Финансовый 6 35 4" xfId="2758"/>
    <cellStyle name="Финансовый 6 35 4 2" xfId="6261"/>
    <cellStyle name="Финансовый 6 35 5" xfId="3511"/>
    <cellStyle name="Финансовый 6 35 5 2" xfId="8073"/>
    <cellStyle name="Финансовый 6 35 6" xfId="4252"/>
    <cellStyle name="Финансовый 6 35 7" xfId="4993"/>
    <cellStyle name="Финансовый 6 35 8" xfId="5734"/>
    <cellStyle name="Финансовый 6 36" xfId="936"/>
    <cellStyle name="Финансовый 6 36 2" xfId="937"/>
    <cellStyle name="Финансовый 6 36 2 2" xfId="1990"/>
    <cellStyle name="Финансовый 6 36 2 3" xfId="8075"/>
    <cellStyle name="Финансовый 6 36 3" xfId="1989"/>
    <cellStyle name="Финансовый 6 36 4" xfId="8074"/>
    <cellStyle name="Финансовый 6 37" xfId="938"/>
    <cellStyle name="Финансовый 6 37 2" xfId="939"/>
    <cellStyle name="Финансовый 6 37 2 2" xfId="1992"/>
    <cellStyle name="Финансовый 6 37 2 2 2" xfId="6617"/>
    <cellStyle name="Финансовый 6 37 2 3" xfId="2761"/>
    <cellStyle name="Финансовый 6 37 2 3 2" xfId="5951"/>
    <cellStyle name="Финансовый 6 37 2 4" xfId="3514"/>
    <cellStyle name="Финансовый 6 37 2 4 2" xfId="8077"/>
    <cellStyle name="Финансовый 6 37 2 5" xfId="4255"/>
    <cellStyle name="Финансовый 6 37 2 6" xfId="4996"/>
    <cellStyle name="Финансовый 6 37 2 7" xfId="5737"/>
    <cellStyle name="Финансовый 6 37 3" xfId="1991"/>
    <cellStyle name="Финансовый 6 37 3 2" xfId="6616"/>
    <cellStyle name="Финансовый 6 37 4" xfId="2760"/>
    <cellStyle name="Финансовый 6 37 4 2" xfId="7253"/>
    <cellStyle name="Финансовый 6 37 5" xfId="3513"/>
    <cellStyle name="Финансовый 6 37 5 2" xfId="8076"/>
    <cellStyle name="Финансовый 6 37 6" xfId="4254"/>
    <cellStyle name="Финансовый 6 37 7" xfId="4995"/>
    <cellStyle name="Финансовый 6 37 8" xfId="5736"/>
    <cellStyle name="Финансовый 6 38" xfId="940"/>
    <cellStyle name="Финансовый 6 38 2" xfId="941"/>
    <cellStyle name="Финансовый 6 38 2 2" xfId="1994"/>
    <cellStyle name="Финансовый 6 38 2 2 2" xfId="6619"/>
    <cellStyle name="Финансовый 6 38 2 3" xfId="2763"/>
    <cellStyle name="Финансовый 6 38 2 3 2" xfId="5954"/>
    <cellStyle name="Финансовый 6 38 2 4" xfId="3516"/>
    <cellStyle name="Финансовый 6 38 2 4 2" xfId="7422"/>
    <cellStyle name="Финансовый 6 38 2 5" xfId="4257"/>
    <cellStyle name="Финансовый 6 38 2 6" xfId="4998"/>
    <cellStyle name="Финансовый 6 38 2 7" xfId="5739"/>
    <cellStyle name="Финансовый 6 38 3" xfId="1993"/>
    <cellStyle name="Финансовый 6 38 3 2" xfId="6618"/>
    <cellStyle name="Финансовый 6 38 4" xfId="2762"/>
    <cellStyle name="Финансовый 6 38 4 2" xfId="7234"/>
    <cellStyle name="Финансовый 6 38 5" xfId="3515"/>
    <cellStyle name="Финансовый 6 38 5 2" xfId="8078"/>
    <cellStyle name="Финансовый 6 38 6" xfId="4256"/>
    <cellStyle name="Финансовый 6 38 7" xfId="4997"/>
    <cellStyle name="Финансовый 6 38 8" xfId="5738"/>
    <cellStyle name="Финансовый 6 39" xfId="942"/>
    <cellStyle name="Финансовый 6 39 2" xfId="943"/>
    <cellStyle name="Финансовый 6 39 2 2" xfId="1996"/>
    <cellStyle name="Финансовый 6 39 2 2 2" xfId="6621"/>
    <cellStyle name="Финансовый 6 39 2 3" xfId="2765"/>
    <cellStyle name="Финансовый 6 39 2 3 2" xfId="7323"/>
    <cellStyle name="Финансовый 6 39 2 4" xfId="3518"/>
    <cellStyle name="Финансовый 6 39 2 4 2" xfId="8080"/>
    <cellStyle name="Финансовый 6 39 2 5" xfId="4259"/>
    <cellStyle name="Финансовый 6 39 2 6" xfId="5000"/>
    <cellStyle name="Финансовый 6 39 2 7" xfId="5741"/>
    <cellStyle name="Финансовый 6 39 3" xfId="1995"/>
    <cellStyle name="Финансовый 6 39 3 2" xfId="6620"/>
    <cellStyle name="Финансовый 6 39 4" xfId="2764"/>
    <cellStyle name="Финансовый 6 39 4 2" xfId="5957"/>
    <cellStyle name="Финансовый 6 39 5" xfId="3517"/>
    <cellStyle name="Финансовый 6 39 5 2" xfId="8079"/>
    <cellStyle name="Финансовый 6 39 6" xfId="4258"/>
    <cellStyle name="Финансовый 6 39 7" xfId="4999"/>
    <cellStyle name="Финансовый 6 39 8" xfId="5740"/>
    <cellStyle name="Финансовый 6 4" xfId="85"/>
    <cellStyle name="Финансовый 6 4 2" xfId="945"/>
    <cellStyle name="Финансовый 6 4 2 2" xfId="1998"/>
    <cellStyle name="Финансовый 6 4 2 3" xfId="8082"/>
    <cellStyle name="Финансовый 6 4 3" xfId="944"/>
    <cellStyle name="Финансовый 6 4 3 2" xfId="7345"/>
    <cellStyle name="Финансовый 6 4 4" xfId="1997"/>
    <cellStyle name="Финансовый 6 4 4 2" xfId="8081"/>
    <cellStyle name="Финансовый 6 40" xfId="946"/>
    <cellStyle name="Финансовый 6 40 2" xfId="947"/>
    <cellStyle name="Финансовый 6 40 2 2" xfId="2000"/>
    <cellStyle name="Финансовый 6 40 2 2 2" xfId="6624"/>
    <cellStyle name="Финансовый 6 40 2 3" xfId="2767"/>
    <cellStyle name="Финансовый 6 40 2 3 2" xfId="6196"/>
    <cellStyle name="Финансовый 6 40 2 4" xfId="3520"/>
    <cellStyle name="Финансовый 6 40 2 4 2" xfId="8084"/>
    <cellStyle name="Финансовый 6 40 2 5" xfId="4261"/>
    <cellStyle name="Финансовый 6 40 2 6" xfId="5002"/>
    <cellStyle name="Финансовый 6 40 2 7" xfId="5743"/>
    <cellStyle name="Финансовый 6 40 3" xfId="1999"/>
    <cellStyle name="Финансовый 6 40 3 2" xfId="6623"/>
    <cellStyle name="Финансовый 6 40 4" xfId="2766"/>
    <cellStyle name="Финансовый 6 40 4 2" xfId="7177"/>
    <cellStyle name="Финансовый 6 40 5" xfId="3519"/>
    <cellStyle name="Финансовый 6 40 5 2" xfId="8083"/>
    <cellStyle name="Финансовый 6 40 6" xfId="4260"/>
    <cellStyle name="Финансовый 6 40 7" xfId="5001"/>
    <cellStyle name="Финансовый 6 40 8" xfId="5742"/>
    <cellStyle name="Финансовый 6 41" xfId="948"/>
    <cellStyle name="Финансовый 6 41 2" xfId="2001"/>
    <cellStyle name="Финансовый 6 41 2 2" xfId="6625"/>
    <cellStyle name="Финансовый 6 41 3" xfId="2768"/>
    <cellStyle name="Финансовый 6 41 3 2" xfId="7266"/>
    <cellStyle name="Финансовый 6 41 4" xfId="3521"/>
    <cellStyle name="Финансовый 6 41 4 2" xfId="8085"/>
    <cellStyle name="Финансовый 6 41 5" xfId="4262"/>
    <cellStyle name="Финансовый 6 41 6" xfId="5003"/>
    <cellStyle name="Финансовый 6 41 7" xfId="5744"/>
    <cellStyle name="Финансовый 6 42" xfId="949"/>
    <cellStyle name="Финансовый 6 42 2" xfId="2002"/>
    <cellStyle name="Финансовый 6 42 2 2" xfId="6626"/>
    <cellStyle name="Финансовый 6 42 3" xfId="2769"/>
    <cellStyle name="Финансовый 6 42 3 2" xfId="6766"/>
    <cellStyle name="Финансовый 6 42 4" xfId="3522"/>
    <cellStyle name="Финансовый 6 42 4 2" xfId="8086"/>
    <cellStyle name="Финансовый 6 42 5" xfId="4263"/>
    <cellStyle name="Финансовый 6 42 6" xfId="5004"/>
    <cellStyle name="Финансовый 6 42 7" xfId="5745"/>
    <cellStyle name="Финансовый 6 43" xfId="880"/>
    <cellStyle name="Финансовый 6 43 2" xfId="2003"/>
    <cellStyle name="Финансовый 6 43 2 2" xfId="6627"/>
    <cellStyle name="Финансовый 6 43 3" xfId="2770"/>
    <cellStyle name="Финансовый 6 43 3 2" xfId="6738"/>
    <cellStyle name="Финансовый 6 43 4" xfId="3523"/>
    <cellStyle name="Финансовый 6 43 4 2" xfId="8087"/>
    <cellStyle name="Финансовый 6 43 5" xfId="4264"/>
    <cellStyle name="Финансовый 6 43 6" xfId="5005"/>
    <cellStyle name="Финансовый 6 43 7" xfId="5746"/>
    <cellStyle name="Финансовый 6 44" xfId="2004"/>
    <cellStyle name="Финансовый 6 44 2" xfId="2771"/>
    <cellStyle name="Финансовый 6 44 2 2" xfId="6628"/>
    <cellStyle name="Финансовый 6 44 3" xfId="3524"/>
    <cellStyle name="Финансовый 6 44 3 2" xfId="6899"/>
    <cellStyle name="Финансовый 6 44 4" xfId="4265"/>
    <cellStyle name="Финансовый 6 44 4 2" xfId="8088"/>
    <cellStyle name="Финансовый 6 44 5" xfId="5006"/>
    <cellStyle name="Финансовый 6 44 6" xfId="5747"/>
    <cellStyle name="Финансовый 6 45" xfId="2005"/>
    <cellStyle name="Финансовый 6 45 2" xfId="2772"/>
    <cellStyle name="Финансовый 6 45 2 2" xfId="6629"/>
    <cellStyle name="Финансовый 6 45 3" xfId="3525"/>
    <cellStyle name="Финансовый 6 45 3 2" xfId="6740"/>
    <cellStyle name="Финансовый 6 45 4" xfId="4266"/>
    <cellStyle name="Финансовый 6 45 4 2" xfId="8089"/>
    <cellStyle name="Финансовый 6 45 5" xfId="5007"/>
    <cellStyle name="Финансовый 6 45 6" xfId="5748"/>
    <cellStyle name="Финансовый 6 46" xfId="2006"/>
    <cellStyle name="Финансовый 6 46 2" xfId="2773"/>
    <cellStyle name="Финансовый 6 46 2 2" xfId="6630"/>
    <cellStyle name="Финансовый 6 46 3" xfId="3526"/>
    <cellStyle name="Финансовый 6 46 3 2" xfId="7349"/>
    <cellStyle name="Финансовый 6 46 4" xfId="4267"/>
    <cellStyle name="Финансовый 6 46 4 2" xfId="8090"/>
    <cellStyle name="Финансовый 6 46 5" xfId="5008"/>
    <cellStyle name="Финансовый 6 46 6" xfId="5749"/>
    <cellStyle name="Финансовый 6 47" xfId="2007"/>
    <cellStyle name="Финансовый 6 47 2" xfId="2887"/>
    <cellStyle name="Финансовый 6 47 2 2" xfId="6799"/>
    <cellStyle name="Финансовый 6 47 3" xfId="3628"/>
    <cellStyle name="Финансовый 6 47 3 2" xfId="5916"/>
    <cellStyle name="Финансовый 6 47 4" xfId="4369"/>
    <cellStyle name="Финансовый 6 47 4 2" xfId="8339"/>
    <cellStyle name="Финансовый 6 47 5" xfId="5110"/>
    <cellStyle name="Финансовый 6 47 6" xfId="5851"/>
    <cellStyle name="Финансовый 6 48" xfId="2008"/>
    <cellStyle name="Финансовый 6 48 2" xfId="2899"/>
    <cellStyle name="Финансовый 6 48 2 2" xfId="6811"/>
    <cellStyle name="Финансовый 6 48 3" xfId="3640"/>
    <cellStyle name="Финансовый 6 48 3 2" xfId="7169"/>
    <cellStyle name="Финансовый 6 48 4" xfId="4381"/>
    <cellStyle name="Финансовый 6 48 4 2" xfId="8092"/>
    <cellStyle name="Финансовый 6 48 5" xfId="5122"/>
    <cellStyle name="Финансовый 6 48 6" xfId="5863"/>
    <cellStyle name="Финансовый 6 49" xfId="2009"/>
    <cellStyle name="Финансовый 6 49 2" xfId="2911"/>
    <cellStyle name="Финансовый 6 49 2 2" xfId="6823"/>
    <cellStyle name="Финансовый 6 49 3" xfId="3652"/>
    <cellStyle name="Финансовый 6 49 3 2" xfId="7162"/>
    <cellStyle name="Финансовый 6 49 4" xfId="4393"/>
    <cellStyle name="Финансовый 6 49 4 2" xfId="8093"/>
    <cellStyle name="Финансовый 6 49 5" xfId="5134"/>
    <cellStyle name="Финансовый 6 49 6" xfId="5875"/>
    <cellStyle name="Финансовый 6 5" xfId="132"/>
    <cellStyle name="Финансовый 6 5 2" xfId="951"/>
    <cellStyle name="Финансовый 6 5 2 2" xfId="2011"/>
    <cellStyle name="Финансовый 6 5 2 2 2" xfId="6632"/>
    <cellStyle name="Финансовый 6 5 2 3" xfId="2775"/>
    <cellStyle name="Финансовый 6 5 2 3 2" xfId="7166"/>
    <cellStyle name="Финансовый 6 5 2 4" xfId="3528"/>
    <cellStyle name="Финансовый 6 5 2 4 2" xfId="8095"/>
    <cellStyle name="Финансовый 6 5 2 5" xfId="4269"/>
    <cellStyle name="Финансовый 6 5 2 6" xfId="5010"/>
    <cellStyle name="Финансовый 6 5 2 7" xfId="5751"/>
    <cellStyle name="Финансовый 6 5 3" xfId="950"/>
    <cellStyle name="Финансовый 6 5 3 2" xfId="6631"/>
    <cellStyle name="Финансовый 6 5 4" xfId="2010"/>
    <cellStyle name="Финансовый 6 5 5" xfId="2774"/>
    <cellStyle name="Финансовый 6 5 5 2" xfId="8094"/>
    <cellStyle name="Финансовый 6 5 6" xfId="3527"/>
    <cellStyle name="Финансовый 6 5 7" xfId="4268"/>
    <cellStyle name="Финансовый 6 5 8" xfId="5009"/>
    <cellStyle name="Финансовый 6 5 9" xfId="5750"/>
    <cellStyle name="Финансовый 6 50" xfId="2012"/>
    <cellStyle name="Финансовый 6 50 2" xfId="2708"/>
    <cellStyle name="Финансовый 6 50 2 2" xfId="6558"/>
    <cellStyle name="Финансовый 6 50 3" xfId="3461"/>
    <cellStyle name="Финансовый 6 50 3 2" xfId="7161"/>
    <cellStyle name="Финансовый 6 50 4" xfId="4202"/>
    <cellStyle name="Финансовый 6 50 4 2" xfId="8096"/>
    <cellStyle name="Финансовый 6 50 5" xfId="4943"/>
    <cellStyle name="Финансовый 6 50 6" xfId="5684"/>
    <cellStyle name="Финансовый 6 51" xfId="1930"/>
    <cellStyle name="Финансовый 6 51 2" xfId="5937"/>
    <cellStyle name="Финансовый 6 52" xfId="2211"/>
    <cellStyle name="Финансовый 6 52 2" xfId="7147"/>
    <cellStyle name="Финансовый 6 53" xfId="2960"/>
    <cellStyle name="Финансовый 6 53 2" xfId="8029"/>
    <cellStyle name="Финансовый 6 54" xfId="3701"/>
    <cellStyle name="Финансовый 6 55" xfId="4442"/>
    <cellStyle name="Финансовый 6 56" xfId="5188"/>
    <cellStyle name="Финансовый 6 6" xfId="119"/>
    <cellStyle name="Финансовый 6 6 2" xfId="953"/>
    <cellStyle name="Финансовый 6 6 2 2" xfId="2014"/>
    <cellStyle name="Финансовый 6 6 2 3" xfId="8114"/>
    <cellStyle name="Финансовый 6 6 3" xfId="952"/>
    <cellStyle name="Финансовый 6 6 3 2" xfId="5962"/>
    <cellStyle name="Финансовый 6 6 4" xfId="2013"/>
    <cellStyle name="Финансовый 6 6 4 2" xfId="8097"/>
    <cellStyle name="Финансовый 6 7" xfId="161"/>
    <cellStyle name="Финансовый 6 7 2" xfId="955"/>
    <cellStyle name="Финансовый 6 7 2 2" xfId="2016"/>
    <cellStyle name="Финансовый 6 7 2 2 2" xfId="6634"/>
    <cellStyle name="Финансовый 6 7 2 3" xfId="2777"/>
    <cellStyle name="Финансовый 6 7 2 3 2" xfId="6755"/>
    <cellStyle name="Финансовый 6 7 2 4" xfId="3530"/>
    <cellStyle name="Финансовый 6 7 2 4 2" xfId="8268"/>
    <cellStyle name="Финансовый 6 7 2 5" xfId="4271"/>
    <cellStyle name="Финансовый 6 7 2 6" xfId="5012"/>
    <cellStyle name="Финансовый 6 7 2 7" xfId="5753"/>
    <cellStyle name="Финансовый 6 7 3" xfId="954"/>
    <cellStyle name="Финансовый 6 7 3 2" xfId="6633"/>
    <cellStyle name="Финансовый 6 7 4" xfId="2015"/>
    <cellStyle name="Финансовый 6 7 5" xfId="2776"/>
    <cellStyle name="Финансовый 6 7 5 2" xfId="8261"/>
    <cellStyle name="Финансовый 6 7 6" xfId="3529"/>
    <cellStyle name="Финансовый 6 7 7" xfId="4270"/>
    <cellStyle name="Финансовый 6 7 8" xfId="5011"/>
    <cellStyle name="Финансовый 6 7 9" xfId="5752"/>
    <cellStyle name="Финансовый 6 8" xfId="176"/>
    <cellStyle name="Финансовый 6 8 2" xfId="957"/>
    <cellStyle name="Финансовый 6 8 2 2" xfId="2018"/>
    <cellStyle name="Финансовый 6 8 2 2 2" xfId="6636"/>
    <cellStyle name="Финансовый 6 8 2 3" xfId="2779"/>
    <cellStyle name="Финансовый 6 8 2 3 2" xfId="5946"/>
    <cellStyle name="Финансовый 6 8 2 4" xfId="3532"/>
    <cellStyle name="Финансовый 6 8 2 4 2" xfId="8265"/>
    <cellStyle name="Финансовый 6 8 2 5" xfId="4273"/>
    <cellStyle name="Финансовый 6 8 2 6" xfId="5014"/>
    <cellStyle name="Финансовый 6 8 2 7" xfId="5755"/>
    <cellStyle name="Финансовый 6 8 3" xfId="956"/>
    <cellStyle name="Финансовый 6 8 3 2" xfId="6635"/>
    <cellStyle name="Финансовый 6 8 4" xfId="2017"/>
    <cellStyle name="Финансовый 6 8 5" xfId="2778"/>
    <cellStyle name="Финансовый 6 8 5 2" xfId="8098"/>
    <cellStyle name="Финансовый 6 8 6" xfId="3531"/>
    <cellStyle name="Финансовый 6 8 7" xfId="4272"/>
    <cellStyle name="Финансовый 6 8 8" xfId="5013"/>
    <cellStyle name="Финансовый 6 8 9" xfId="5754"/>
    <cellStyle name="Финансовый 6 9" xfId="183"/>
    <cellStyle name="Финансовый 6 9 2" xfId="959"/>
    <cellStyle name="Финансовый 6 9 2 2" xfId="2020"/>
    <cellStyle name="Финансовый 6 9 2 3" xfId="8099"/>
    <cellStyle name="Финансовый 6 9 3" xfId="958"/>
    <cellStyle name="Финансовый 6 9 3 2" xfId="7206"/>
    <cellStyle name="Финансовый 6 9 4" xfId="2019"/>
    <cellStyle name="Финансовый 6 9 4 2" xfId="8269"/>
    <cellStyle name="Финансовый 7" xfId="68"/>
    <cellStyle name="Финансовый 7 10" xfId="199"/>
    <cellStyle name="Финансовый 7 10 2" xfId="962"/>
    <cellStyle name="Финансовый 7 10 2 2" xfId="2023"/>
    <cellStyle name="Финансовый 7 10 2 2 2" xfId="6640"/>
    <cellStyle name="Финансовый 7 10 2 3" xfId="2782"/>
    <cellStyle name="Финансовый 7 10 2 3 2" xfId="7327"/>
    <cellStyle name="Финансовый 7 10 2 4" xfId="3535"/>
    <cellStyle name="Финансовый 7 10 2 4 2" xfId="8102"/>
    <cellStyle name="Финансовый 7 10 2 5" xfId="4276"/>
    <cellStyle name="Финансовый 7 10 2 6" xfId="5017"/>
    <cellStyle name="Финансовый 7 10 2 7" xfId="5758"/>
    <cellStyle name="Финансовый 7 10 3" xfId="961"/>
    <cellStyle name="Финансовый 7 10 3 2" xfId="6639"/>
    <cellStyle name="Финансовый 7 10 4" xfId="2022"/>
    <cellStyle name="Финансовый 7 10 5" xfId="2781"/>
    <cellStyle name="Финансовый 7 10 5 2" xfId="8101"/>
    <cellStyle name="Финансовый 7 10 6" xfId="3534"/>
    <cellStyle name="Финансовый 7 10 7" xfId="4275"/>
    <cellStyle name="Финансовый 7 10 8" xfId="5016"/>
    <cellStyle name="Финансовый 7 10 9" xfId="5757"/>
    <cellStyle name="Финансовый 7 11" xfId="213"/>
    <cellStyle name="Финансовый 7 11 2" xfId="964"/>
    <cellStyle name="Финансовый 7 11 2 2" xfId="2025"/>
    <cellStyle name="Финансовый 7 11 2 2 2" xfId="6642"/>
    <cellStyle name="Финансовый 7 11 2 3" xfId="2784"/>
    <cellStyle name="Финансовый 7 11 2 3 2" xfId="6382"/>
    <cellStyle name="Финансовый 7 11 2 4" xfId="3537"/>
    <cellStyle name="Финансовый 7 11 2 4 2" xfId="8281"/>
    <cellStyle name="Финансовый 7 11 2 5" xfId="4278"/>
    <cellStyle name="Финансовый 7 11 2 6" xfId="5019"/>
    <cellStyle name="Финансовый 7 11 2 7" xfId="5760"/>
    <cellStyle name="Финансовый 7 11 3" xfId="963"/>
    <cellStyle name="Финансовый 7 11 3 2" xfId="6641"/>
    <cellStyle name="Финансовый 7 11 4" xfId="2024"/>
    <cellStyle name="Финансовый 7 11 5" xfId="2783"/>
    <cellStyle name="Финансовый 7 11 5 2" xfId="8103"/>
    <cellStyle name="Финансовый 7 11 6" xfId="3536"/>
    <cellStyle name="Финансовый 7 11 7" xfId="4277"/>
    <cellStyle name="Финансовый 7 11 8" xfId="5018"/>
    <cellStyle name="Финансовый 7 11 9" xfId="5759"/>
    <cellStyle name="Финансовый 7 12" xfId="226"/>
    <cellStyle name="Финансовый 7 12 2" xfId="966"/>
    <cellStyle name="Финансовый 7 12 2 2" xfId="2027"/>
    <cellStyle name="Финансовый 7 12 2 3" xfId="8302"/>
    <cellStyle name="Финансовый 7 12 3" xfId="965"/>
    <cellStyle name="Финансовый 7 12 3 2" xfId="6615"/>
    <cellStyle name="Финансовый 7 12 4" xfId="2026"/>
    <cellStyle name="Финансовый 7 12 4 2" xfId="8292"/>
    <cellStyle name="Финансовый 7 13" xfId="241"/>
    <cellStyle name="Финансовый 7 13 2" xfId="968"/>
    <cellStyle name="Финансовый 7 13 2 2" xfId="2029"/>
    <cellStyle name="Финансовый 7 13 2 2 2" xfId="6646"/>
    <cellStyle name="Финансовый 7 13 2 3" xfId="2786"/>
    <cellStyle name="Финансовый 7 13 2 3 2" xfId="7298"/>
    <cellStyle name="Финансовый 7 13 2 4" xfId="3539"/>
    <cellStyle name="Финансовый 7 13 2 4 2" xfId="8104"/>
    <cellStyle name="Финансовый 7 13 2 5" xfId="4280"/>
    <cellStyle name="Финансовый 7 13 2 6" xfId="5021"/>
    <cellStyle name="Финансовый 7 13 2 7" xfId="5762"/>
    <cellStyle name="Финансовый 7 13 3" xfId="967"/>
    <cellStyle name="Финансовый 7 13 3 2" xfId="6645"/>
    <cellStyle name="Финансовый 7 13 4" xfId="2028"/>
    <cellStyle name="Финансовый 7 13 5" xfId="2785"/>
    <cellStyle name="Финансовый 7 13 5 2" xfId="8264"/>
    <cellStyle name="Финансовый 7 13 6" xfId="3538"/>
    <cellStyle name="Финансовый 7 13 7" xfId="4279"/>
    <cellStyle name="Финансовый 7 13 8" xfId="5020"/>
    <cellStyle name="Финансовый 7 13 9" xfId="5761"/>
    <cellStyle name="Финансовый 7 14" xfId="969"/>
    <cellStyle name="Финансовый 7 14 2" xfId="2030"/>
    <cellStyle name="Финансовый 7 15" xfId="970"/>
    <cellStyle name="Финансовый 7 15 2" xfId="971"/>
    <cellStyle name="Финансовый 7 15 2 2" xfId="2032"/>
    <cellStyle name="Финансовый 7 15 2 2 2" xfId="6648"/>
    <cellStyle name="Финансовый 7 15 2 3" xfId="2788"/>
    <cellStyle name="Финансовый 7 15 2 3 2" xfId="7275"/>
    <cellStyle name="Финансовый 7 15 2 4" xfId="3541"/>
    <cellStyle name="Финансовый 7 15 2 4 2" xfId="8105"/>
    <cellStyle name="Финансовый 7 15 2 5" xfId="4282"/>
    <cellStyle name="Финансовый 7 15 2 6" xfId="5023"/>
    <cellStyle name="Финансовый 7 15 2 7" xfId="5764"/>
    <cellStyle name="Финансовый 7 15 3" xfId="2031"/>
    <cellStyle name="Финансовый 7 15 3 2" xfId="6647"/>
    <cellStyle name="Финансовый 7 15 4" xfId="2787"/>
    <cellStyle name="Финансовый 7 15 4 2" xfId="7200"/>
    <cellStyle name="Финансовый 7 15 5" xfId="3540"/>
    <cellStyle name="Финансовый 7 15 5 2" xfId="8030"/>
    <cellStyle name="Финансовый 7 15 6" xfId="4281"/>
    <cellStyle name="Финансовый 7 15 7" xfId="5022"/>
    <cellStyle name="Финансовый 7 15 8" xfId="5763"/>
    <cellStyle name="Финансовый 7 16" xfId="972"/>
    <cellStyle name="Финансовый 7 16 2" xfId="973"/>
    <cellStyle name="Финансовый 7 16 2 2" xfId="2034"/>
    <cellStyle name="Финансовый 7 16 2 2 2" xfId="6650"/>
    <cellStyle name="Финансовый 7 16 2 3" xfId="2790"/>
    <cellStyle name="Финансовый 7 16 2 3 2" xfId="7340"/>
    <cellStyle name="Финансовый 7 16 2 4" xfId="3543"/>
    <cellStyle name="Финансовый 7 16 2 4 2" xfId="8107"/>
    <cellStyle name="Финансовый 7 16 2 5" xfId="4284"/>
    <cellStyle name="Финансовый 7 16 2 6" xfId="5025"/>
    <cellStyle name="Финансовый 7 16 2 7" xfId="5766"/>
    <cellStyle name="Финансовый 7 16 3" xfId="2033"/>
    <cellStyle name="Финансовый 7 16 3 2" xfId="6649"/>
    <cellStyle name="Финансовый 7 16 4" xfId="2789"/>
    <cellStyle name="Финансовый 7 16 4 2" xfId="6741"/>
    <cellStyle name="Финансовый 7 16 5" xfId="3542"/>
    <cellStyle name="Финансовый 7 16 5 2" xfId="8106"/>
    <cellStyle name="Финансовый 7 16 6" xfId="4283"/>
    <cellStyle name="Финансовый 7 16 7" xfId="5024"/>
    <cellStyle name="Финансовый 7 16 8" xfId="5765"/>
    <cellStyle name="Финансовый 7 17" xfId="974"/>
    <cellStyle name="Финансовый 7 17 2" xfId="975"/>
    <cellStyle name="Финансовый 7 17 2 2" xfId="2036"/>
    <cellStyle name="Финансовый 7 17 2 2 2" xfId="6652"/>
    <cellStyle name="Финансовый 7 17 2 3" xfId="2792"/>
    <cellStyle name="Финансовый 7 17 2 3 2" xfId="5924"/>
    <cellStyle name="Финансовый 7 17 2 4" xfId="3545"/>
    <cellStyle name="Финансовый 7 17 2 4 2" xfId="8109"/>
    <cellStyle name="Финансовый 7 17 2 5" xfId="4286"/>
    <cellStyle name="Финансовый 7 17 2 6" xfId="5027"/>
    <cellStyle name="Финансовый 7 17 2 7" xfId="5768"/>
    <cellStyle name="Финансовый 7 17 3" xfId="2035"/>
    <cellStyle name="Финансовый 7 17 3 2" xfId="6651"/>
    <cellStyle name="Финансовый 7 17 4" xfId="2791"/>
    <cellStyle name="Финансовый 7 17 4 2" xfId="6753"/>
    <cellStyle name="Финансовый 7 17 5" xfId="3544"/>
    <cellStyle name="Финансовый 7 17 5 2" xfId="8108"/>
    <cellStyle name="Финансовый 7 17 6" xfId="4285"/>
    <cellStyle name="Финансовый 7 17 7" xfId="5026"/>
    <cellStyle name="Финансовый 7 17 8" xfId="5767"/>
    <cellStyle name="Финансовый 7 18" xfId="976"/>
    <cellStyle name="Финансовый 7 18 2" xfId="977"/>
    <cellStyle name="Финансовый 7 18 2 2" xfId="2038"/>
    <cellStyle name="Финансовый 7 18 2 2 2" xfId="6654"/>
    <cellStyle name="Финансовый 7 18 2 3" xfId="2794"/>
    <cellStyle name="Финансовый 7 18 2 3 2" xfId="6014"/>
    <cellStyle name="Финансовый 7 18 2 4" xfId="3547"/>
    <cellStyle name="Финансовый 7 18 2 4 2" xfId="8111"/>
    <cellStyle name="Финансовый 7 18 2 5" xfId="4288"/>
    <cellStyle name="Финансовый 7 18 2 6" xfId="5029"/>
    <cellStyle name="Финансовый 7 18 2 7" xfId="5770"/>
    <cellStyle name="Финансовый 7 18 3" xfId="2037"/>
    <cellStyle name="Финансовый 7 18 3 2" xfId="6653"/>
    <cellStyle name="Финансовый 7 18 4" xfId="2793"/>
    <cellStyle name="Финансовый 7 18 4 2" xfId="6758"/>
    <cellStyle name="Финансовый 7 18 5" xfId="3546"/>
    <cellStyle name="Финансовый 7 18 5 2" xfId="8110"/>
    <cellStyle name="Финансовый 7 18 6" xfId="4287"/>
    <cellStyle name="Финансовый 7 18 7" xfId="5028"/>
    <cellStyle name="Финансовый 7 18 8" xfId="5769"/>
    <cellStyle name="Финансовый 7 19" xfId="978"/>
    <cellStyle name="Финансовый 7 19 2" xfId="979"/>
    <cellStyle name="Финансовый 7 19 2 2" xfId="2040"/>
    <cellStyle name="Финансовый 7 19 2 2 2" xfId="6656"/>
    <cellStyle name="Финансовый 7 19 2 3" xfId="2796"/>
    <cellStyle name="Финансовый 7 19 2 3 2" xfId="6595"/>
    <cellStyle name="Финансовый 7 19 2 4" xfId="3549"/>
    <cellStyle name="Финансовый 7 19 2 4 2" xfId="7388"/>
    <cellStyle name="Финансовый 7 19 2 5" xfId="4290"/>
    <cellStyle name="Финансовый 7 19 2 6" xfId="5031"/>
    <cellStyle name="Финансовый 7 19 2 7" xfId="5772"/>
    <cellStyle name="Финансовый 7 19 3" xfId="2039"/>
    <cellStyle name="Финансовый 7 19 3 2" xfId="6655"/>
    <cellStyle name="Финансовый 7 19 4" xfId="2795"/>
    <cellStyle name="Финансовый 7 19 4 2" xfId="6760"/>
    <cellStyle name="Финансовый 7 19 5" xfId="3548"/>
    <cellStyle name="Финансовый 7 19 5 2" xfId="8112"/>
    <cellStyle name="Финансовый 7 19 6" xfId="4289"/>
    <cellStyle name="Финансовый 7 19 7" xfId="5030"/>
    <cellStyle name="Финансовый 7 19 8" xfId="5771"/>
    <cellStyle name="Финансовый 7 2" xfId="82"/>
    <cellStyle name="Финансовый 7 2 10" xfId="5773"/>
    <cellStyle name="Финансовый 7 2 2" xfId="981"/>
    <cellStyle name="Финансовый 7 2 2 2" xfId="2042"/>
    <cellStyle name="Финансовый 7 2 2 2 2" xfId="6658"/>
    <cellStyle name="Финансовый 7 2 2 3" xfId="2798"/>
    <cellStyle name="Финансовый 7 2 2 3 2" xfId="7153"/>
    <cellStyle name="Финансовый 7 2 2 4" xfId="3551"/>
    <cellStyle name="Финансовый 7 2 2 4 2" xfId="8115"/>
    <cellStyle name="Финансовый 7 2 2 5" xfId="4292"/>
    <cellStyle name="Финансовый 7 2 2 6" xfId="5033"/>
    <cellStyle name="Финансовый 7 2 2 7" xfId="5774"/>
    <cellStyle name="Финансовый 7 2 3" xfId="980"/>
    <cellStyle name="Финансовый 7 2 3 2" xfId="2043"/>
    <cellStyle name="Финансовый 7 2 3 2 2" xfId="6659"/>
    <cellStyle name="Финансовый 7 2 3 3" xfId="2799"/>
    <cellStyle name="Финансовый 7 2 3 3 2" xfId="7171"/>
    <cellStyle name="Финансовый 7 2 3 4" xfId="3552"/>
    <cellStyle name="Финансовый 7 2 3 4 2" xfId="8116"/>
    <cellStyle name="Финансовый 7 2 3 5" xfId="4293"/>
    <cellStyle name="Финансовый 7 2 3 6" xfId="5034"/>
    <cellStyle name="Финансовый 7 2 3 7" xfId="5775"/>
    <cellStyle name="Финансовый 7 2 4" xfId="2044"/>
    <cellStyle name="Финансовый 7 2 4 2" xfId="2937"/>
    <cellStyle name="Финансовый 7 2 4 2 2" xfId="6849"/>
    <cellStyle name="Финансовый 7 2 4 3" xfId="3678"/>
    <cellStyle name="Финансовый 7 2 4 3 2" xfId="5929"/>
    <cellStyle name="Финансовый 7 2 4 4" xfId="4419"/>
    <cellStyle name="Финансовый 7 2 4 4 2" xfId="8117"/>
    <cellStyle name="Финансовый 7 2 4 5" xfId="5160"/>
    <cellStyle name="Финансовый 7 2 4 6" xfId="5901"/>
    <cellStyle name="Финансовый 7 2 5" xfId="2041"/>
    <cellStyle name="Финансовый 7 2 5 2" xfId="6657"/>
    <cellStyle name="Финансовый 7 2 6" xfId="2797"/>
    <cellStyle name="Финансовый 7 2 6 2" xfId="6721"/>
    <cellStyle name="Финансовый 7 2 7" xfId="3550"/>
    <cellStyle name="Финансовый 7 2 7 2" xfId="8224"/>
    <cellStyle name="Финансовый 7 2 8" xfId="4291"/>
    <cellStyle name="Финансовый 7 2 9" xfId="5032"/>
    <cellStyle name="Финансовый 7 20" xfId="982"/>
    <cellStyle name="Финансовый 7 20 2" xfId="983"/>
    <cellStyle name="Финансовый 7 20 2 2" xfId="2046"/>
    <cellStyle name="Финансовый 7 20 2 2 2" xfId="6661"/>
    <cellStyle name="Финансовый 7 20 2 3" xfId="2801"/>
    <cellStyle name="Финансовый 7 20 2 3 2" xfId="7149"/>
    <cellStyle name="Финансовый 7 20 2 4" xfId="3554"/>
    <cellStyle name="Финансовый 7 20 2 4 2" xfId="8119"/>
    <cellStyle name="Финансовый 7 20 2 5" xfId="4295"/>
    <cellStyle name="Финансовый 7 20 2 6" xfId="5036"/>
    <cellStyle name="Финансовый 7 20 2 7" xfId="5777"/>
    <cellStyle name="Финансовый 7 20 3" xfId="2045"/>
    <cellStyle name="Финансовый 7 20 3 2" xfId="6660"/>
    <cellStyle name="Финансовый 7 20 4" xfId="2800"/>
    <cellStyle name="Финансовый 7 20 4 2" xfId="7151"/>
    <cellStyle name="Финансовый 7 20 5" xfId="3553"/>
    <cellStyle name="Финансовый 7 20 5 2" xfId="8118"/>
    <cellStyle name="Финансовый 7 20 6" xfId="4294"/>
    <cellStyle name="Финансовый 7 20 7" xfId="5035"/>
    <cellStyle name="Финансовый 7 20 8" xfId="5776"/>
    <cellStyle name="Финансовый 7 21" xfId="984"/>
    <cellStyle name="Финансовый 7 21 2" xfId="985"/>
    <cellStyle name="Финансовый 7 21 2 2" xfId="2048"/>
    <cellStyle name="Финансовый 7 21 2 2 2" xfId="6663"/>
    <cellStyle name="Финансовый 7 21 2 3" xfId="2803"/>
    <cellStyle name="Финансовый 7 21 2 3 2" xfId="6764"/>
    <cellStyle name="Финансовый 7 21 2 4" xfId="3556"/>
    <cellStyle name="Финансовый 7 21 2 4 2" xfId="8141"/>
    <cellStyle name="Финансовый 7 21 2 5" xfId="4297"/>
    <cellStyle name="Финансовый 7 21 2 6" xfId="5038"/>
    <cellStyle name="Финансовый 7 21 2 7" xfId="5779"/>
    <cellStyle name="Финансовый 7 21 3" xfId="2047"/>
    <cellStyle name="Финансовый 7 21 3 2" xfId="6662"/>
    <cellStyle name="Финансовый 7 21 4" xfId="2802"/>
    <cellStyle name="Финансовый 7 21 4 2" xfId="6015"/>
    <cellStyle name="Финансовый 7 21 5" xfId="3555"/>
    <cellStyle name="Финансовый 7 21 5 2" xfId="8120"/>
    <cellStyle name="Финансовый 7 21 6" xfId="4296"/>
    <cellStyle name="Финансовый 7 21 7" xfId="5037"/>
    <cellStyle name="Финансовый 7 21 8" xfId="5778"/>
    <cellStyle name="Финансовый 7 22" xfId="986"/>
    <cellStyle name="Финансовый 7 22 2" xfId="987"/>
    <cellStyle name="Финансовый 7 22 2 2" xfId="2050"/>
    <cellStyle name="Финансовый 7 22 2 2 2" xfId="6665"/>
    <cellStyle name="Финансовый 7 22 2 3" xfId="2805"/>
    <cellStyle name="Финансовый 7 22 2 3 2" xfId="5941"/>
    <cellStyle name="Финансовый 7 22 2 4" xfId="3558"/>
    <cellStyle name="Финансовый 7 22 2 4 2" xfId="7417"/>
    <cellStyle name="Финансовый 7 22 2 5" xfId="4299"/>
    <cellStyle name="Финансовый 7 22 2 6" xfId="5040"/>
    <cellStyle name="Финансовый 7 22 2 7" xfId="5781"/>
    <cellStyle name="Финансовый 7 22 3" xfId="2049"/>
    <cellStyle name="Финансовый 7 22 3 2" xfId="6664"/>
    <cellStyle name="Финансовый 7 22 4" xfId="2804"/>
    <cellStyle name="Финансовый 7 22 4 2" xfId="6369"/>
    <cellStyle name="Финансовый 7 22 5" xfId="3557"/>
    <cellStyle name="Финансовый 7 22 5 2" xfId="7407"/>
    <cellStyle name="Финансовый 7 22 6" xfId="4298"/>
    <cellStyle name="Финансовый 7 22 7" xfId="5039"/>
    <cellStyle name="Финансовый 7 22 8" xfId="5780"/>
    <cellStyle name="Финансовый 7 23" xfId="988"/>
    <cellStyle name="Финансовый 7 23 2" xfId="989"/>
    <cellStyle name="Финансовый 7 23 2 2" xfId="2052"/>
    <cellStyle name="Финансовый 7 23 2 2 2" xfId="6667"/>
    <cellStyle name="Финансовый 7 23 2 3" xfId="2807"/>
    <cellStyle name="Финансовый 7 23 2 3 2" xfId="6763"/>
    <cellStyle name="Финансовый 7 23 2 4" xfId="3560"/>
    <cellStyle name="Финансовый 7 23 2 4 2" xfId="7412"/>
    <cellStyle name="Финансовый 7 23 2 5" xfId="4301"/>
    <cellStyle name="Финансовый 7 23 2 6" xfId="5042"/>
    <cellStyle name="Финансовый 7 23 2 7" xfId="5783"/>
    <cellStyle name="Финансовый 7 23 3" xfId="2051"/>
    <cellStyle name="Финансовый 7 23 3 2" xfId="6666"/>
    <cellStyle name="Финансовый 7 23 4" xfId="2806"/>
    <cellStyle name="Финансовый 7 23 4 2" xfId="6762"/>
    <cellStyle name="Финансовый 7 23 5" xfId="3559"/>
    <cellStyle name="Финансовый 7 23 5 2" xfId="8121"/>
    <cellStyle name="Финансовый 7 23 6" xfId="4300"/>
    <cellStyle name="Финансовый 7 23 7" xfId="5041"/>
    <cellStyle name="Финансовый 7 23 8" xfId="5782"/>
    <cellStyle name="Финансовый 7 24" xfId="990"/>
    <cellStyle name="Финансовый 7 24 2" xfId="991"/>
    <cellStyle name="Финансовый 7 24 2 2" xfId="2054"/>
    <cellStyle name="Финансовый 7 24 2 2 2" xfId="6669"/>
    <cellStyle name="Финансовый 7 24 2 3" xfId="2809"/>
    <cellStyle name="Финансовый 7 24 2 3 2" xfId="5943"/>
    <cellStyle name="Финансовый 7 24 2 4" xfId="3562"/>
    <cellStyle name="Финансовый 7 24 2 4 2" xfId="8122"/>
    <cellStyle name="Финансовый 7 24 2 5" xfId="4303"/>
    <cellStyle name="Финансовый 7 24 2 6" xfId="5044"/>
    <cellStyle name="Финансовый 7 24 2 7" xfId="5785"/>
    <cellStyle name="Финансовый 7 24 3" xfId="2053"/>
    <cellStyle name="Финансовый 7 24 3 2" xfId="6668"/>
    <cellStyle name="Финансовый 7 24 4" xfId="2808"/>
    <cellStyle name="Финансовый 7 24 4 2" xfId="5942"/>
    <cellStyle name="Финансовый 7 24 5" xfId="3561"/>
    <cellStyle name="Финансовый 7 24 5 2" xfId="7418"/>
    <cellStyle name="Финансовый 7 24 6" xfId="4302"/>
    <cellStyle name="Финансовый 7 24 7" xfId="5043"/>
    <cellStyle name="Финансовый 7 24 8" xfId="5784"/>
    <cellStyle name="Финансовый 7 25" xfId="992"/>
    <cellStyle name="Финансовый 7 25 2" xfId="993"/>
    <cellStyle name="Финансовый 7 25 2 2" xfId="2056"/>
    <cellStyle name="Финансовый 7 25 2 2 2" xfId="6671"/>
    <cellStyle name="Финансовый 7 25 2 3" xfId="2811"/>
    <cellStyle name="Финансовый 7 25 2 3 2" xfId="5950"/>
    <cellStyle name="Финансовый 7 25 2 4" xfId="3564"/>
    <cellStyle name="Финансовый 7 25 2 4 2" xfId="8124"/>
    <cellStyle name="Финансовый 7 25 2 5" xfId="4305"/>
    <cellStyle name="Финансовый 7 25 2 6" xfId="5046"/>
    <cellStyle name="Финансовый 7 25 2 7" xfId="5787"/>
    <cellStyle name="Финансовый 7 25 3" xfId="2055"/>
    <cellStyle name="Финансовый 7 25 3 2" xfId="6670"/>
    <cellStyle name="Финансовый 7 25 4" xfId="2810"/>
    <cellStyle name="Финансовый 7 25 4 2" xfId="6393"/>
    <cellStyle name="Финансовый 7 25 5" xfId="3563"/>
    <cellStyle name="Финансовый 7 25 5 2" xfId="8123"/>
    <cellStyle name="Финансовый 7 25 6" xfId="4304"/>
    <cellStyle name="Финансовый 7 25 7" xfId="5045"/>
    <cellStyle name="Финансовый 7 25 8" xfId="5786"/>
    <cellStyle name="Финансовый 7 26" xfId="994"/>
    <cellStyle name="Финансовый 7 26 2" xfId="995"/>
    <cellStyle name="Финансовый 7 26 2 2" xfId="2058"/>
    <cellStyle name="Финансовый 7 26 2 2 2" xfId="6673"/>
    <cellStyle name="Финансовый 7 26 2 3" xfId="2813"/>
    <cellStyle name="Финансовый 7 26 2 3 2" xfId="7222"/>
    <cellStyle name="Финансовый 7 26 2 4" xfId="3566"/>
    <cellStyle name="Финансовый 7 26 2 4 2" xfId="8126"/>
    <cellStyle name="Финансовый 7 26 2 5" xfId="4307"/>
    <cellStyle name="Финансовый 7 26 2 6" xfId="5048"/>
    <cellStyle name="Финансовый 7 26 2 7" xfId="5789"/>
    <cellStyle name="Финансовый 7 26 3" xfId="2057"/>
    <cellStyle name="Финансовый 7 26 3 2" xfId="6672"/>
    <cellStyle name="Финансовый 7 26 4" xfId="2812"/>
    <cellStyle name="Финансовый 7 26 4 2" xfId="7334"/>
    <cellStyle name="Финансовый 7 26 5" xfId="3565"/>
    <cellStyle name="Финансовый 7 26 5 2" xfId="8125"/>
    <cellStyle name="Финансовый 7 26 6" xfId="4306"/>
    <cellStyle name="Финансовый 7 26 7" xfId="5047"/>
    <cellStyle name="Финансовый 7 26 8" xfId="5788"/>
    <cellStyle name="Финансовый 7 27" xfId="996"/>
    <cellStyle name="Финансовый 7 27 2" xfId="997"/>
    <cellStyle name="Финансовый 7 27 2 2" xfId="2060"/>
    <cellStyle name="Финансовый 7 27 2 3" xfId="8128"/>
    <cellStyle name="Финансовый 7 27 3" xfId="2059"/>
    <cellStyle name="Финансовый 7 27 4" xfId="8127"/>
    <cellStyle name="Финансовый 7 28" xfId="998"/>
    <cellStyle name="Финансовый 7 28 2" xfId="999"/>
    <cellStyle name="Финансовый 7 28 2 2" xfId="2062"/>
    <cellStyle name="Финансовый 7 28 2 2 2" xfId="6676"/>
    <cellStyle name="Финансовый 7 28 2 3" xfId="2815"/>
    <cellStyle name="Финансовый 7 28 2 3 2" xfId="7192"/>
    <cellStyle name="Финансовый 7 28 2 4" xfId="3568"/>
    <cellStyle name="Финансовый 7 28 2 4 2" xfId="7411"/>
    <cellStyle name="Финансовый 7 28 2 5" xfId="4309"/>
    <cellStyle name="Финансовый 7 28 2 6" xfId="5050"/>
    <cellStyle name="Финансовый 7 28 2 7" xfId="5791"/>
    <cellStyle name="Финансовый 7 28 3" xfId="2061"/>
    <cellStyle name="Финансовый 7 28 3 2" xfId="6675"/>
    <cellStyle name="Финансовый 7 28 4" xfId="2814"/>
    <cellStyle name="Финансовый 7 28 4 2" xfId="5948"/>
    <cellStyle name="Финансовый 7 28 5" xfId="3567"/>
    <cellStyle name="Финансовый 7 28 5 2" xfId="8129"/>
    <cellStyle name="Финансовый 7 28 6" xfId="4308"/>
    <cellStyle name="Финансовый 7 28 7" xfId="5049"/>
    <cellStyle name="Финансовый 7 28 8" xfId="5790"/>
    <cellStyle name="Финансовый 7 29" xfId="1000"/>
    <cellStyle name="Финансовый 7 29 2" xfId="1001"/>
    <cellStyle name="Финансовый 7 29 2 2" xfId="2064"/>
    <cellStyle name="Финансовый 7 29 2 2 2" xfId="6678"/>
    <cellStyle name="Финансовый 7 29 2 3" xfId="2817"/>
    <cellStyle name="Финансовый 7 29 2 3 2" xfId="5940"/>
    <cellStyle name="Финансовый 7 29 2 4" xfId="3570"/>
    <cellStyle name="Финансовый 7 29 2 4 2" xfId="8131"/>
    <cellStyle name="Финансовый 7 29 2 5" xfId="4311"/>
    <cellStyle name="Финансовый 7 29 2 6" xfId="5052"/>
    <cellStyle name="Финансовый 7 29 2 7" xfId="5793"/>
    <cellStyle name="Финансовый 7 29 3" xfId="2063"/>
    <cellStyle name="Финансовый 7 29 3 2" xfId="6677"/>
    <cellStyle name="Финансовый 7 29 4" xfId="2816"/>
    <cellStyle name="Финансовый 7 29 4 2" xfId="7326"/>
    <cellStyle name="Финансовый 7 29 5" xfId="3569"/>
    <cellStyle name="Финансовый 7 29 5 2" xfId="8130"/>
    <cellStyle name="Финансовый 7 29 6" xfId="4310"/>
    <cellStyle name="Финансовый 7 29 7" xfId="5051"/>
    <cellStyle name="Финансовый 7 29 8" xfId="5792"/>
    <cellStyle name="Финансовый 7 3" xfId="110"/>
    <cellStyle name="Финансовый 7 3 2" xfId="1003"/>
    <cellStyle name="Финансовый 7 3 2 2" xfId="2066"/>
    <cellStyle name="Финансовый 7 3 2 2 2" xfId="6680"/>
    <cellStyle name="Финансовый 7 3 2 3" xfId="2819"/>
    <cellStyle name="Финансовый 7 3 2 3 2" xfId="6016"/>
    <cellStyle name="Финансовый 7 3 2 4" xfId="3572"/>
    <cellStyle name="Финансовый 7 3 2 4 2" xfId="8133"/>
    <cellStyle name="Финансовый 7 3 2 5" xfId="4313"/>
    <cellStyle name="Финансовый 7 3 2 6" xfId="5054"/>
    <cellStyle name="Финансовый 7 3 2 7" xfId="5795"/>
    <cellStyle name="Финансовый 7 3 3" xfId="1002"/>
    <cellStyle name="Финансовый 7 3 3 2" xfId="2067"/>
    <cellStyle name="Финансовый 7 3 3 2 2" xfId="6837"/>
    <cellStyle name="Финансовый 7 3 3 3" xfId="2925"/>
    <cellStyle name="Финансовый 7 3 3 3 2" xfId="6270"/>
    <cellStyle name="Финансовый 7 3 3 4" xfId="3666"/>
    <cellStyle name="Финансовый 7 3 3 4 2" xfId="8134"/>
    <cellStyle name="Финансовый 7 3 3 5" xfId="4407"/>
    <cellStyle name="Финансовый 7 3 3 6" xfId="5148"/>
    <cellStyle name="Финансовый 7 3 3 7" xfId="5889"/>
    <cellStyle name="Финансовый 7 3 4" xfId="2065"/>
    <cellStyle name="Финансовый 7 3 4 2" xfId="6679"/>
    <cellStyle name="Финансовый 7 3 5" xfId="2818"/>
    <cellStyle name="Финансовый 7 3 5 2" xfId="6746"/>
    <cellStyle name="Финансовый 7 3 6" xfId="3571"/>
    <cellStyle name="Финансовый 7 3 6 2" xfId="8132"/>
    <cellStyle name="Финансовый 7 3 7" xfId="4312"/>
    <cellStyle name="Финансовый 7 3 8" xfId="5053"/>
    <cellStyle name="Финансовый 7 3 9" xfId="5794"/>
    <cellStyle name="Финансовый 7 30" xfId="1004"/>
    <cellStyle name="Финансовый 7 30 2" xfId="1005"/>
    <cellStyle name="Финансовый 7 30 2 2" xfId="2069"/>
    <cellStyle name="Финансовый 7 30 2 2 2" xfId="6682"/>
    <cellStyle name="Финансовый 7 30 2 3" xfId="2821"/>
    <cellStyle name="Финансовый 7 30 2 3 2" xfId="7301"/>
    <cellStyle name="Финансовый 7 30 2 4" xfId="3574"/>
    <cellStyle name="Финансовый 7 30 2 4 2" xfId="8325"/>
    <cellStyle name="Финансовый 7 30 2 5" xfId="4315"/>
    <cellStyle name="Финансовый 7 30 2 6" xfId="5056"/>
    <cellStyle name="Финансовый 7 30 2 7" xfId="5797"/>
    <cellStyle name="Финансовый 7 30 3" xfId="2068"/>
    <cellStyle name="Финансовый 7 30 3 2" xfId="6681"/>
    <cellStyle name="Финансовый 7 30 4" xfId="2820"/>
    <cellStyle name="Финансовый 7 30 4 2" xfId="6212"/>
    <cellStyle name="Финансовый 7 30 5" xfId="3573"/>
    <cellStyle name="Финансовый 7 30 5 2" xfId="8135"/>
    <cellStyle name="Финансовый 7 30 6" xfId="4314"/>
    <cellStyle name="Финансовый 7 30 7" xfId="5055"/>
    <cellStyle name="Финансовый 7 30 8" xfId="5796"/>
    <cellStyle name="Финансовый 7 31" xfId="1006"/>
    <cellStyle name="Финансовый 7 31 2" xfId="1007"/>
    <cellStyle name="Финансовый 7 31 2 2" xfId="2071"/>
    <cellStyle name="Финансовый 7 31 2 2 2" xfId="6684"/>
    <cellStyle name="Финансовый 7 31 2 3" xfId="2823"/>
    <cellStyle name="Финансовый 7 31 2 3 2" xfId="7319"/>
    <cellStyle name="Финансовый 7 31 2 4" xfId="3576"/>
    <cellStyle name="Финансовый 7 31 2 4 2" xfId="8137"/>
    <cellStyle name="Финансовый 7 31 2 5" xfId="4317"/>
    <cellStyle name="Финансовый 7 31 2 6" xfId="5058"/>
    <cellStyle name="Финансовый 7 31 2 7" xfId="5799"/>
    <cellStyle name="Финансовый 7 31 3" xfId="2070"/>
    <cellStyle name="Финансовый 7 31 3 2" xfId="6683"/>
    <cellStyle name="Финансовый 7 31 4" xfId="2822"/>
    <cellStyle name="Финансовый 7 31 4 2" xfId="7216"/>
    <cellStyle name="Финансовый 7 31 5" xfId="3575"/>
    <cellStyle name="Финансовый 7 31 5 2" xfId="8136"/>
    <cellStyle name="Финансовый 7 31 6" xfId="4316"/>
    <cellStyle name="Финансовый 7 31 7" xfId="5057"/>
    <cellStyle name="Финансовый 7 31 8" xfId="5798"/>
    <cellStyle name="Финансовый 7 32" xfId="1008"/>
    <cellStyle name="Финансовый 7 32 2" xfId="1009"/>
    <cellStyle name="Финансовый 7 32 2 2" xfId="2073"/>
    <cellStyle name="Финансовый 7 32 2 2 2" xfId="6686"/>
    <cellStyle name="Финансовый 7 32 2 3" xfId="2825"/>
    <cellStyle name="Финансовый 7 32 2 3 2" xfId="5945"/>
    <cellStyle name="Финансовый 7 32 2 4" xfId="3578"/>
    <cellStyle name="Финансовый 7 32 2 4 2" xfId="8139"/>
    <cellStyle name="Финансовый 7 32 2 5" xfId="4319"/>
    <cellStyle name="Финансовый 7 32 2 6" xfId="5060"/>
    <cellStyle name="Финансовый 7 32 2 7" xfId="5801"/>
    <cellStyle name="Финансовый 7 32 3" xfId="2072"/>
    <cellStyle name="Финансовый 7 32 3 2" xfId="6685"/>
    <cellStyle name="Финансовый 7 32 4" xfId="2824"/>
    <cellStyle name="Финансовый 7 32 4 2" xfId="7299"/>
    <cellStyle name="Финансовый 7 32 5" xfId="3577"/>
    <cellStyle name="Финансовый 7 32 5 2" xfId="8138"/>
    <cellStyle name="Финансовый 7 32 6" xfId="4318"/>
    <cellStyle name="Финансовый 7 32 7" xfId="5059"/>
    <cellStyle name="Финансовый 7 32 8" xfId="5800"/>
    <cellStyle name="Финансовый 7 33" xfId="1010"/>
    <cellStyle name="Финансовый 7 33 2" xfId="1011"/>
    <cellStyle name="Финансовый 7 33 2 2" xfId="2075"/>
    <cellStyle name="Финансовый 7 33 2 2 2" xfId="6688"/>
    <cellStyle name="Финансовый 7 33 2 3" xfId="2827"/>
    <cellStyle name="Финансовый 7 33 2 3 2" xfId="6768"/>
    <cellStyle name="Финансовый 7 33 2 4" xfId="3580"/>
    <cellStyle name="Финансовый 7 33 2 4 2" xfId="8226"/>
    <cellStyle name="Финансовый 7 33 2 5" xfId="4321"/>
    <cellStyle name="Финансовый 7 33 2 6" xfId="5062"/>
    <cellStyle name="Финансовый 7 33 2 7" xfId="5803"/>
    <cellStyle name="Финансовый 7 33 3" xfId="2074"/>
    <cellStyle name="Финансовый 7 33 3 2" xfId="6687"/>
    <cellStyle name="Финансовый 7 33 4" xfId="2826"/>
    <cellStyle name="Финансовый 7 33 4 2" xfId="6183"/>
    <cellStyle name="Финансовый 7 33 5" xfId="3579"/>
    <cellStyle name="Финансовый 7 33 5 2" xfId="8140"/>
    <cellStyle name="Финансовый 7 33 6" xfId="4320"/>
    <cellStyle name="Финансовый 7 33 7" xfId="5061"/>
    <cellStyle name="Финансовый 7 33 8" xfId="5802"/>
    <cellStyle name="Финансовый 7 34" xfId="1012"/>
    <cellStyle name="Финансовый 7 34 2" xfId="1013"/>
    <cellStyle name="Финансовый 7 34 2 2" xfId="2077"/>
    <cellStyle name="Финансовый 7 34 2 2 2" xfId="6690"/>
    <cellStyle name="Финансовый 7 34 2 3" xfId="2829"/>
    <cellStyle name="Финансовый 7 34 2 3 2" xfId="6614"/>
    <cellStyle name="Финансовый 7 34 2 4" xfId="3582"/>
    <cellStyle name="Финансовый 7 34 2 4 2" xfId="8143"/>
    <cellStyle name="Финансовый 7 34 2 5" xfId="4323"/>
    <cellStyle name="Финансовый 7 34 2 6" xfId="5064"/>
    <cellStyle name="Финансовый 7 34 2 7" xfId="5805"/>
    <cellStyle name="Финансовый 7 34 3" xfId="2076"/>
    <cellStyle name="Финансовый 7 34 3 2" xfId="6689"/>
    <cellStyle name="Финансовый 7 34 4" xfId="2828"/>
    <cellStyle name="Финансовый 7 34 4 2" xfId="6567"/>
    <cellStyle name="Финансовый 7 34 5" xfId="3581"/>
    <cellStyle name="Финансовый 7 34 5 2" xfId="8142"/>
    <cellStyle name="Финансовый 7 34 6" xfId="4322"/>
    <cellStyle name="Финансовый 7 34 7" xfId="5063"/>
    <cellStyle name="Финансовый 7 34 8" xfId="5804"/>
    <cellStyle name="Финансовый 7 35" xfId="1014"/>
    <cellStyle name="Финансовый 7 35 2" xfId="1015"/>
    <cellStyle name="Финансовый 7 35 2 2" xfId="2079"/>
    <cellStyle name="Финансовый 7 35 2 2 2" xfId="6692"/>
    <cellStyle name="Финансовый 7 35 2 3" xfId="2831"/>
    <cellStyle name="Финансовый 7 35 2 3 2" xfId="6644"/>
    <cellStyle name="Финансовый 7 35 2 4" xfId="3584"/>
    <cellStyle name="Финансовый 7 35 2 4 2" xfId="8145"/>
    <cellStyle name="Финансовый 7 35 2 5" xfId="4325"/>
    <cellStyle name="Финансовый 7 35 2 6" xfId="5066"/>
    <cellStyle name="Финансовый 7 35 2 7" xfId="5807"/>
    <cellStyle name="Финансовый 7 35 3" xfId="2078"/>
    <cellStyle name="Финансовый 7 35 3 2" xfId="6691"/>
    <cellStyle name="Финансовый 7 35 4" xfId="2830"/>
    <cellStyle name="Финансовый 7 35 4 2" xfId="6191"/>
    <cellStyle name="Финансовый 7 35 5" xfId="3583"/>
    <cellStyle name="Финансовый 7 35 5 2" xfId="8144"/>
    <cellStyle name="Финансовый 7 35 6" xfId="4324"/>
    <cellStyle name="Финансовый 7 35 7" xfId="5065"/>
    <cellStyle name="Финансовый 7 35 8" xfId="5806"/>
    <cellStyle name="Финансовый 7 36" xfId="1016"/>
    <cellStyle name="Финансовый 7 36 2" xfId="1017"/>
    <cellStyle name="Финансовый 7 36 2 2" xfId="2081"/>
    <cellStyle name="Финансовый 7 36 2 3" xfId="8147"/>
    <cellStyle name="Финансовый 7 36 3" xfId="2080"/>
    <cellStyle name="Финансовый 7 36 4" xfId="8146"/>
    <cellStyle name="Финансовый 7 37" xfId="1018"/>
    <cellStyle name="Финансовый 7 37 2" xfId="1019"/>
    <cellStyle name="Финансовый 7 37 2 2" xfId="2083"/>
    <cellStyle name="Финансовый 7 37 2 2 2" xfId="6695"/>
    <cellStyle name="Финансовый 7 37 2 3" xfId="2833"/>
    <cellStyle name="Финансовый 7 37 2 3 2" xfId="6715"/>
    <cellStyle name="Финансовый 7 37 2 4" xfId="3586"/>
    <cellStyle name="Финансовый 7 37 2 4 2" xfId="7435"/>
    <cellStyle name="Финансовый 7 37 2 5" xfId="4327"/>
    <cellStyle name="Финансовый 7 37 2 6" xfId="5068"/>
    <cellStyle name="Финансовый 7 37 2 7" xfId="5809"/>
    <cellStyle name="Финансовый 7 37 3" xfId="2082"/>
    <cellStyle name="Финансовый 7 37 3 2" xfId="6694"/>
    <cellStyle name="Финансовый 7 37 4" xfId="2832"/>
    <cellStyle name="Финансовый 7 37 4 2" xfId="6693"/>
    <cellStyle name="Финансовый 7 37 5" xfId="3585"/>
    <cellStyle name="Финансовый 7 37 5 2" xfId="8168"/>
    <cellStyle name="Финансовый 7 37 6" xfId="4326"/>
    <cellStyle name="Финансовый 7 37 7" xfId="5067"/>
    <cellStyle name="Финансовый 7 37 8" xfId="5808"/>
    <cellStyle name="Финансовый 7 38" xfId="1020"/>
    <cellStyle name="Финансовый 7 38 2" xfId="1021"/>
    <cellStyle name="Финансовый 7 38 2 2" xfId="2085"/>
    <cellStyle name="Финансовый 7 38 2 2 2" xfId="6697"/>
    <cellStyle name="Финансовый 7 38 2 3" xfId="2835"/>
    <cellStyle name="Финансовый 7 38 2 3 2" xfId="6730"/>
    <cellStyle name="Финансовый 7 38 2 4" xfId="3588"/>
    <cellStyle name="Финансовый 7 38 2 4 2" xfId="8148"/>
    <cellStyle name="Финансовый 7 38 2 5" xfId="4329"/>
    <cellStyle name="Финансовый 7 38 2 6" xfId="5070"/>
    <cellStyle name="Финансовый 7 38 2 7" xfId="5811"/>
    <cellStyle name="Финансовый 7 38 3" xfId="2084"/>
    <cellStyle name="Финансовый 7 38 3 2" xfId="6696"/>
    <cellStyle name="Финансовый 7 38 4" xfId="2834"/>
    <cellStyle name="Финансовый 7 38 4 2" xfId="6185"/>
    <cellStyle name="Финансовый 7 38 5" xfId="3587"/>
    <cellStyle name="Финансовый 7 38 5 2" xfId="7430"/>
    <cellStyle name="Финансовый 7 38 6" xfId="4328"/>
    <cellStyle name="Финансовый 7 38 7" xfId="5069"/>
    <cellStyle name="Финансовый 7 38 8" xfId="5810"/>
    <cellStyle name="Финансовый 7 39" xfId="1022"/>
    <cellStyle name="Финансовый 7 39 2" xfId="1023"/>
    <cellStyle name="Финансовый 7 39 2 2" xfId="2087"/>
    <cellStyle name="Финансовый 7 39 2 2 2" xfId="6699"/>
    <cellStyle name="Финансовый 7 39 2 3" xfId="2837"/>
    <cellStyle name="Финансовый 7 39 2 3 2" xfId="5919"/>
    <cellStyle name="Финансовый 7 39 2 4" xfId="3590"/>
    <cellStyle name="Финансовый 7 39 2 4 2" xfId="7447"/>
    <cellStyle name="Финансовый 7 39 2 5" xfId="4331"/>
    <cellStyle name="Финансовый 7 39 2 6" xfId="5072"/>
    <cellStyle name="Финансовый 7 39 2 7" xfId="5813"/>
    <cellStyle name="Финансовый 7 39 3" xfId="2086"/>
    <cellStyle name="Финансовый 7 39 3 2" xfId="6698"/>
    <cellStyle name="Финансовый 7 39 4" xfId="2836"/>
    <cellStyle name="Финансовый 7 39 4 2" xfId="5947"/>
    <cellStyle name="Финансовый 7 39 5" xfId="3589"/>
    <cellStyle name="Финансовый 7 39 5 2" xfId="7441"/>
    <cellStyle name="Финансовый 7 39 6" xfId="4330"/>
    <cellStyle name="Финансовый 7 39 7" xfId="5071"/>
    <cellStyle name="Финансовый 7 39 8" xfId="5812"/>
    <cellStyle name="Финансовый 7 4" xfId="90"/>
    <cellStyle name="Финансовый 7 4 2" xfId="1025"/>
    <cellStyle name="Финансовый 7 4 2 2" xfId="2089"/>
    <cellStyle name="Финансовый 7 4 2 3" xfId="8150"/>
    <cellStyle name="Финансовый 7 4 3" xfId="1024"/>
    <cellStyle name="Финансовый 7 4 3 2" xfId="6181"/>
    <cellStyle name="Финансовый 7 4 4" xfId="2088"/>
    <cellStyle name="Финансовый 7 4 4 2" xfId="8149"/>
    <cellStyle name="Финансовый 7 40" xfId="1026"/>
    <cellStyle name="Финансовый 7 40 2" xfId="1027"/>
    <cellStyle name="Финансовый 7 40 2 2" xfId="2091"/>
    <cellStyle name="Финансовый 7 40 2 2 2" xfId="6701"/>
    <cellStyle name="Финансовый 7 40 2 3" xfId="2839"/>
    <cellStyle name="Финансовый 7 40 2 3 2" xfId="7290"/>
    <cellStyle name="Финансовый 7 40 2 4" xfId="3592"/>
    <cellStyle name="Финансовый 7 40 2 4 2" xfId="8152"/>
    <cellStyle name="Финансовый 7 40 2 5" xfId="4333"/>
    <cellStyle name="Финансовый 7 40 2 6" xfId="5074"/>
    <cellStyle name="Финансовый 7 40 2 7" xfId="5815"/>
    <cellStyle name="Финансовый 7 40 3" xfId="2090"/>
    <cellStyle name="Финансовый 7 40 3 2" xfId="6700"/>
    <cellStyle name="Финансовый 7 40 4" xfId="2838"/>
    <cellStyle name="Финансовый 7 40 4 2" xfId="7193"/>
    <cellStyle name="Финансовый 7 40 5" xfId="3591"/>
    <cellStyle name="Финансовый 7 40 5 2" xfId="8151"/>
    <cellStyle name="Финансовый 7 40 6" xfId="4332"/>
    <cellStyle name="Финансовый 7 40 7" xfId="5073"/>
    <cellStyle name="Финансовый 7 40 8" xfId="5814"/>
    <cellStyle name="Финансовый 7 41" xfId="1028"/>
    <cellStyle name="Финансовый 7 41 2" xfId="2092"/>
    <cellStyle name="Финансовый 7 41 2 2" xfId="6702"/>
    <cellStyle name="Финансовый 7 41 3" xfId="2840"/>
    <cellStyle name="Финансовый 7 41 3 2" xfId="5926"/>
    <cellStyle name="Финансовый 7 41 4" xfId="3593"/>
    <cellStyle name="Финансовый 7 41 4 2" xfId="8153"/>
    <cellStyle name="Финансовый 7 41 5" xfId="4334"/>
    <cellStyle name="Финансовый 7 41 6" xfId="5075"/>
    <cellStyle name="Финансовый 7 41 7" xfId="5816"/>
    <cellStyle name="Финансовый 7 42" xfId="1029"/>
    <cellStyle name="Финансовый 7 42 2" xfId="2093"/>
    <cellStyle name="Финансовый 7 42 2 2" xfId="6703"/>
    <cellStyle name="Финансовый 7 42 3" xfId="2841"/>
    <cellStyle name="Финансовый 7 42 3 2" xfId="7198"/>
    <cellStyle name="Финансовый 7 42 4" xfId="3594"/>
    <cellStyle name="Финансовый 7 42 4 2" xfId="8154"/>
    <cellStyle name="Финансовый 7 42 5" xfId="4335"/>
    <cellStyle name="Финансовый 7 42 6" xfId="5076"/>
    <cellStyle name="Финансовый 7 42 7" xfId="5817"/>
    <cellStyle name="Финансовый 7 43" xfId="960"/>
    <cellStyle name="Финансовый 7 43 2" xfId="2094"/>
    <cellStyle name="Финансовый 7 43 2 2" xfId="6704"/>
    <cellStyle name="Финансовый 7 43 3" xfId="2842"/>
    <cellStyle name="Финансовый 7 43 3 2" xfId="6397"/>
    <cellStyle name="Финансовый 7 43 4" xfId="3595"/>
    <cellStyle name="Финансовый 7 43 4 2" xfId="8155"/>
    <cellStyle name="Финансовый 7 43 5" xfId="4336"/>
    <cellStyle name="Финансовый 7 43 6" xfId="5077"/>
    <cellStyle name="Финансовый 7 43 7" xfId="5818"/>
    <cellStyle name="Финансовый 7 44" xfId="2095"/>
    <cellStyle name="Финансовый 7 44 2" xfId="2843"/>
    <cellStyle name="Финансовый 7 44 2 2" xfId="6705"/>
    <cellStyle name="Финансовый 7 44 3" xfId="3596"/>
    <cellStyle name="Финансовый 7 44 3 2" xfId="7315"/>
    <cellStyle name="Финансовый 7 44 4" xfId="4337"/>
    <cellStyle name="Финансовый 7 44 4 2" xfId="8156"/>
    <cellStyle name="Финансовый 7 44 5" xfId="5078"/>
    <cellStyle name="Финансовый 7 44 6" xfId="5819"/>
    <cellStyle name="Финансовый 7 45" xfId="2096"/>
    <cellStyle name="Финансовый 7 45 2" xfId="2844"/>
    <cellStyle name="Финансовый 7 45 2 2" xfId="6706"/>
    <cellStyle name="Финансовый 7 45 3" xfId="3597"/>
    <cellStyle name="Финансовый 7 45 3 2" xfId="6282"/>
    <cellStyle name="Финансовый 7 45 4" xfId="4338"/>
    <cellStyle name="Финансовый 7 45 4 2" xfId="7425"/>
    <cellStyle name="Финансовый 7 45 5" xfId="5079"/>
    <cellStyle name="Финансовый 7 45 6" xfId="5820"/>
    <cellStyle name="Финансовый 7 46" xfId="2097"/>
    <cellStyle name="Финансовый 7 46 2" xfId="2845"/>
    <cellStyle name="Финансовый 7 46 2 2" xfId="6707"/>
    <cellStyle name="Финансовый 7 46 3" xfId="3598"/>
    <cellStyle name="Финансовый 7 46 3 2" xfId="7312"/>
    <cellStyle name="Финансовый 7 46 4" xfId="4339"/>
    <cellStyle name="Финансовый 7 46 4 2" xfId="8157"/>
    <cellStyle name="Финансовый 7 46 5" xfId="5080"/>
    <cellStyle name="Финансовый 7 46 6" xfId="5821"/>
    <cellStyle name="Финансовый 7 47" xfId="2098"/>
    <cellStyle name="Финансовый 7 47 2" xfId="2889"/>
    <cellStyle name="Финансовый 7 47 2 2" xfId="6801"/>
    <cellStyle name="Финансовый 7 47 3" xfId="3630"/>
    <cellStyle name="Финансовый 7 47 3 2" xfId="7317"/>
    <cellStyle name="Финансовый 7 47 4" xfId="4371"/>
    <cellStyle name="Финансовый 7 47 4 2" xfId="8313"/>
    <cellStyle name="Финансовый 7 47 5" xfId="5112"/>
    <cellStyle name="Финансовый 7 47 6" xfId="5853"/>
    <cellStyle name="Финансовый 7 48" xfId="2099"/>
    <cellStyle name="Финансовый 7 48 2" xfId="2901"/>
    <cellStyle name="Финансовый 7 48 2 2" xfId="6813"/>
    <cellStyle name="Финансовый 7 48 3" xfId="3642"/>
    <cellStyle name="Финансовый 7 48 3 2" xfId="7335"/>
    <cellStyle name="Финансовый 7 48 4" xfId="4383"/>
    <cellStyle name="Финансовый 7 48 4 2" xfId="8158"/>
    <cellStyle name="Финансовый 7 48 5" xfId="5124"/>
    <cellStyle name="Финансовый 7 48 6" xfId="5865"/>
    <cellStyle name="Финансовый 7 49" xfId="2100"/>
    <cellStyle name="Финансовый 7 49 2" xfId="2913"/>
    <cellStyle name="Финансовый 7 49 2 2" xfId="6825"/>
    <cellStyle name="Финансовый 7 49 3" xfId="3654"/>
    <cellStyle name="Финансовый 7 49 3 2" xfId="6365"/>
    <cellStyle name="Финансовый 7 49 4" xfId="4395"/>
    <cellStyle name="Финансовый 7 49 4 2" xfId="8159"/>
    <cellStyle name="Финансовый 7 49 5" xfId="5136"/>
    <cellStyle name="Финансовый 7 49 6" xfId="5877"/>
    <cellStyle name="Финансовый 7 5" xfId="134"/>
    <cellStyle name="Финансовый 7 5 2" xfId="1031"/>
    <cellStyle name="Финансовый 7 5 2 2" xfId="2102"/>
    <cellStyle name="Финансовый 7 5 2 2 2" xfId="6709"/>
    <cellStyle name="Финансовый 7 5 2 3" xfId="2847"/>
    <cellStyle name="Финансовый 7 5 2 3 2" xfId="6366"/>
    <cellStyle name="Финансовый 7 5 2 4" xfId="3600"/>
    <cellStyle name="Финансовый 7 5 2 4 2" xfId="8161"/>
    <cellStyle name="Финансовый 7 5 2 5" xfId="4341"/>
    <cellStyle name="Финансовый 7 5 2 6" xfId="5082"/>
    <cellStyle name="Финансовый 7 5 2 7" xfId="5823"/>
    <cellStyle name="Финансовый 7 5 3" xfId="1030"/>
    <cellStyle name="Финансовый 7 5 3 2" xfId="6708"/>
    <cellStyle name="Финансовый 7 5 4" xfId="2101"/>
    <cellStyle name="Финансовый 7 5 5" xfId="2846"/>
    <cellStyle name="Финансовый 7 5 5 2" xfId="8160"/>
    <cellStyle name="Финансовый 7 5 6" xfId="3599"/>
    <cellStyle name="Финансовый 7 5 7" xfId="4340"/>
    <cellStyle name="Финансовый 7 5 8" xfId="5081"/>
    <cellStyle name="Финансовый 7 5 9" xfId="5822"/>
    <cellStyle name="Финансовый 7 50" xfId="2103"/>
    <cellStyle name="Финансовый 7 50 2" xfId="2780"/>
    <cellStyle name="Финансовый 7 50 2 2" xfId="6638"/>
    <cellStyle name="Финансовый 7 50 3" xfId="3533"/>
    <cellStyle name="Финансовый 7 50 3 2" xfId="6769"/>
    <cellStyle name="Финансовый 7 50 4" xfId="4274"/>
    <cellStyle name="Финансовый 7 50 4 2" xfId="8162"/>
    <cellStyle name="Финансовый 7 50 5" xfId="5015"/>
    <cellStyle name="Финансовый 7 50 6" xfId="5756"/>
    <cellStyle name="Финансовый 7 51" xfId="2021"/>
    <cellStyle name="Финансовый 7 51 2" xfId="5939"/>
    <cellStyle name="Финансовый 7 52" xfId="2213"/>
    <cellStyle name="Финансовый 7 52 2" xfId="7167"/>
    <cellStyle name="Финансовый 7 53" xfId="2962"/>
    <cellStyle name="Финансовый 7 53 2" xfId="8100"/>
    <cellStyle name="Финансовый 7 54" xfId="3703"/>
    <cellStyle name="Финансовый 7 55" xfId="4444"/>
    <cellStyle name="Финансовый 7 56" xfId="5190"/>
    <cellStyle name="Финансовый 7 6" xfId="137"/>
    <cellStyle name="Финансовый 7 6 2" xfId="1033"/>
    <cellStyle name="Финансовый 7 6 2 2" xfId="2105"/>
    <cellStyle name="Финансовый 7 6 2 3" xfId="8340"/>
    <cellStyle name="Финансовый 7 6 3" xfId="1032"/>
    <cellStyle name="Финансовый 7 6 3 2" xfId="7307"/>
    <cellStyle name="Финансовый 7 6 4" xfId="2104"/>
    <cellStyle name="Финансовый 7 6 4 2" xfId="8163"/>
    <cellStyle name="Финансовый 7 7" xfId="163"/>
    <cellStyle name="Финансовый 7 7 2" xfId="1035"/>
    <cellStyle name="Финансовый 7 7 2 2" xfId="2107"/>
    <cellStyle name="Финансовый 7 7 2 2 2" xfId="6712"/>
    <cellStyle name="Финансовый 7 7 2 3" xfId="2849"/>
    <cellStyle name="Финансовый 7 7 2 3 2" xfId="5915"/>
    <cellStyle name="Финансовый 7 7 2 4" xfId="3602"/>
    <cellStyle name="Финансовый 7 7 2 4 2" xfId="8164"/>
    <cellStyle name="Финансовый 7 7 2 5" xfId="4343"/>
    <cellStyle name="Финансовый 7 7 2 6" xfId="5084"/>
    <cellStyle name="Финансовый 7 7 2 7" xfId="5825"/>
    <cellStyle name="Финансовый 7 7 3" xfId="1034"/>
    <cellStyle name="Финансовый 7 7 3 2" xfId="6711"/>
    <cellStyle name="Финансовый 7 7 4" xfId="2106"/>
    <cellStyle name="Финансовый 7 7 5" xfId="2848"/>
    <cellStyle name="Финансовый 7 7 5 2" xfId="8341"/>
    <cellStyle name="Финансовый 7 7 6" xfId="3601"/>
    <cellStyle name="Финансовый 7 7 7" xfId="4342"/>
    <cellStyle name="Финансовый 7 7 8" xfId="5083"/>
    <cellStyle name="Финансовый 7 7 9" xfId="5824"/>
    <cellStyle name="Финансовый 7 8" xfId="178"/>
    <cellStyle name="Финансовый 7 8 2" xfId="1037"/>
    <cellStyle name="Финансовый 7 8 2 2" xfId="2109"/>
    <cellStyle name="Финансовый 7 8 2 2 2" xfId="6714"/>
    <cellStyle name="Финансовый 7 8 2 3" xfId="2851"/>
    <cellStyle name="Финансовый 7 8 2 3 2" xfId="6019"/>
    <cellStyle name="Финансовый 7 8 2 4" xfId="3604"/>
    <cellStyle name="Финансовый 7 8 2 4 2" xfId="8166"/>
    <cellStyle name="Финансовый 7 8 2 5" xfId="4345"/>
    <cellStyle name="Финансовый 7 8 2 6" xfId="5086"/>
    <cellStyle name="Финансовый 7 8 2 7" xfId="5827"/>
    <cellStyle name="Финансовый 7 8 3" xfId="1036"/>
    <cellStyle name="Финансовый 7 8 3 2" xfId="6713"/>
    <cellStyle name="Финансовый 7 8 4" xfId="2108"/>
    <cellStyle name="Финансовый 7 8 5" xfId="2850"/>
    <cellStyle name="Финансовый 7 8 5 2" xfId="8165"/>
    <cellStyle name="Финансовый 7 8 6" xfId="3603"/>
    <cellStyle name="Финансовый 7 8 7" xfId="4344"/>
    <cellStyle name="Финансовый 7 8 8" xfId="5085"/>
    <cellStyle name="Финансовый 7 8 9" xfId="5826"/>
    <cellStyle name="Финансовый 7 9" xfId="184"/>
    <cellStyle name="Финансовый 7 9 2" xfId="1039"/>
    <cellStyle name="Финансовый 7 9 2 2" xfId="2111"/>
    <cellStyle name="Финансовый 7 9 2 3" xfId="8228"/>
    <cellStyle name="Финансовый 7 9 3" xfId="1038"/>
    <cellStyle name="Финансовый 7 9 3 2" xfId="7215"/>
    <cellStyle name="Финансовый 7 9 4" xfId="2110"/>
    <cellStyle name="Финансовый 7 9 4 2" xfId="8167"/>
    <cellStyle name="Финансовый 8" xfId="71"/>
    <cellStyle name="Финансовый 8 10" xfId="202"/>
    <cellStyle name="Финансовый 8 10 2" xfId="1042"/>
    <cellStyle name="Финансовый 8 10 2 2" xfId="2114"/>
    <cellStyle name="Финансовый 8 10 2 3" xfId="8169"/>
    <cellStyle name="Финансовый 8 10 3" xfId="1041"/>
    <cellStyle name="Финансовый 8 10 3 2" xfId="6735"/>
    <cellStyle name="Финансовый 8 10 4" xfId="2113"/>
    <cellStyle name="Финансовый 8 10 4 2" xfId="7371"/>
    <cellStyle name="Финансовый 8 11" xfId="227"/>
    <cellStyle name="Финансовый 8 11 2" xfId="1044"/>
    <cellStyle name="Финансовый 8 11 2 2" xfId="2116"/>
    <cellStyle name="Финансовый 8 11 2 3" xfId="8212"/>
    <cellStyle name="Финансовый 8 11 3" xfId="1043"/>
    <cellStyle name="Финансовый 8 11 3 2" xfId="6047"/>
    <cellStyle name="Финансовый 8 11 4" xfId="2115"/>
    <cellStyle name="Финансовый 8 11 4 2" xfId="8222"/>
    <cellStyle name="Финансовый 8 12" xfId="230"/>
    <cellStyle name="Финансовый 8 12 2" xfId="1046"/>
    <cellStyle name="Финансовый 8 12 2 2" xfId="2118"/>
    <cellStyle name="Финансовый 8 12 2 3" xfId="8219"/>
    <cellStyle name="Финансовый 8 12 3" xfId="1045"/>
    <cellStyle name="Финансовый 8 12 3 2" xfId="6074"/>
    <cellStyle name="Финансовый 8 12 4" xfId="2117"/>
    <cellStyle name="Финансовый 8 12 4 2" xfId="8209"/>
    <cellStyle name="Финансовый 8 13" xfId="1047"/>
    <cellStyle name="Финансовый 8 13 2" xfId="2119"/>
    <cellStyle name="Финансовый 8 14" xfId="1048"/>
    <cellStyle name="Финансовый 8 14 2" xfId="1049"/>
    <cellStyle name="Финансовый 8 14 2 2" xfId="2121"/>
    <cellStyle name="Финансовый 8 14 2 3" xfId="8221"/>
    <cellStyle name="Финансовый 8 14 3" xfId="2120"/>
    <cellStyle name="Финансовый 8 14 4" xfId="8220"/>
    <cellStyle name="Финансовый 8 15" xfId="1050"/>
    <cellStyle name="Финансовый 8 15 2" xfId="1051"/>
    <cellStyle name="Финансовый 8 15 2 2" xfId="2123"/>
    <cellStyle name="Финансовый 8 15 2 3" xfId="8232"/>
    <cellStyle name="Финансовый 8 15 3" xfId="2122"/>
    <cellStyle name="Финансовый 8 15 4" xfId="8170"/>
    <cellStyle name="Финансовый 8 16" xfId="1052"/>
    <cellStyle name="Финансовый 8 16 2" xfId="1053"/>
    <cellStyle name="Финансовый 8 16 2 2" xfId="2125"/>
    <cellStyle name="Финансовый 8 16 2 3" xfId="8238"/>
    <cellStyle name="Финансовый 8 16 3" xfId="2124"/>
    <cellStyle name="Финансовый 8 16 4" xfId="8171"/>
    <cellStyle name="Финансовый 8 17" xfId="1054"/>
    <cellStyle name="Финансовый 8 17 2" xfId="1055"/>
    <cellStyle name="Финансовый 8 17 2 2" xfId="2127"/>
    <cellStyle name="Финансовый 8 17 2 3" xfId="8214"/>
    <cellStyle name="Финансовый 8 17 3" xfId="2126"/>
    <cellStyle name="Финансовый 8 17 4" xfId="8250"/>
    <cellStyle name="Финансовый 8 18" xfId="1056"/>
    <cellStyle name="Финансовый 8 18 2" xfId="1057"/>
    <cellStyle name="Финансовый 8 18 2 2" xfId="2129"/>
    <cellStyle name="Финансовый 8 18 2 3" xfId="8216"/>
    <cellStyle name="Финансовый 8 18 3" xfId="2128"/>
    <cellStyle name="Финансовый 8 18 4" xfId="8215"/>
    <cellStyle name="Финансовый 8 19" xfId="1058"/>
    <cellStyle name="Финансовый 8 19 2" xfId="1059"/>
    <cellStyle name="Финансовый 8 19 2 2" xfId="2131"/>
    <cellStyle name="Финансовый 8 19 2 3" xfId="8201"/>
    <cellStyle name="Финансовый 8 19 3" xfId="2130"/>
    <cellStyle name="Финансовый 8 19 4" xfId="8199"/>
    <cellStyle name="Финансовый 8 2" xfId="87"/>
    <cellStyle name="Финансовый 8 2 2" xfId="1061"/>
    <cellStyle name="Финансовый 8 2 2 2" xfId="2133"/>
    <cellStyle name="Финансовый 8 2 2 3" xfId="8205"/>
    <cellStyle name="Финансовый 8 2 3" xfId="1060"/>
    <cellStyle name="Финансовый 8 2 3 2" xfId="6075"/>
    <cellStyle name="Финансовый 8 2 4" xfId="2132"/>
    <cellStyle name="Финансовый 8 2 4 2" xfId="8203"/>
    <cellStyle name="Финансовый 8 20" xfId="1062"/>
    <cellStyle name="Финансовый 8 20 2" xfId="1063"/>
    <cellStyle name="Финансовый 8 20 2 2" xfId="2135"/>
    <cellStyle name="Финансовый 8 20 2 3" xfId="8208"/>
    <cellStyle name="Финансовый 8 20 3" xfId="2134"/>
    <cellStyle name="Финансовый 8 20 4" xfId="8207"/>
    <cellStyle name="Финансовый 8 21" xfId="1064"/>
    <cellStyle name="Финансовый 8 21 2" xfId="1065"/>
    <cellStyle name="Финансовый 8 21 2 2" xfId="2137"/>
    <cellStyle name="Финансовый 8 21 2 3" xfId="8240"/>
    <cellStyle name="Финансовый 8 21 3" xfId="2136"/>
    <cellStyle name="Финансовый 8 21 4" xfId="8172"/>
    <cellStyle name="Финансовый 8 22" xfId="1066"/>
    <cellStyle name="Финансовый 8 22 2" xfId="1067"/>
    <cellStyle name="Финансовый 8 22 2 2" xfId="2139"/>
    <cellStyle name="Финансовый 8 22 2 3" xfId="8273"/>
    <cellStyle name="Финансовый 8 22 3" xfId="2138"/>
    <cellStyle name="Финансовый 8 22 4" xfId="8173"/>
    <cellStyle name="Финансовый 8 23" xfId="1068"/>
    <cellStyle name="Финансовый 8 23 2" xfId="1069"/>
    <cellStyle name="Финансовый 8 23 2 2" xfId="2141"/>
    <cellStyle name="Финансовый 8 23 2 3" xfId="8229"/>
    <cellStyle name="Финансовый 8 23 3" xfId="2140"/>
    <cellStyle name="Финансовый 8 23 4" xfId="8174"/>
    <cellStyle name="Финансовый 8 24" xfId="1070"/>
    <cellStyle name="Финансовый 8 24 2" xfId="1071"/>
    <cellStyle name="Финансовый 8 24 2 2" xfId="2143"/>
    <cellStyle name="Финансовый 8 24 2 3" xfId="8241"/>
    <cellStyle name="Финансовый 8 24 3" xfId="2142"/>
    <cellStyle name="Финансовый 8 24 4" xfId="8175"/>
    <cellStyle name="Финансовый 8 25" xfId="1072"/>
    <cellStyle name="Финансовый 8 25 2" xfId="1073"/>
    <cellStyle name="Финансовый 8 25 2 2" xfId="2145"/>
    <cellStyle name="Финансовый 8 25 2 3" xfId="8242"/>
    <cellStyle name="Финансовый 8 25 3" xfId="2144"/>
    <cellStyle name="Финансовый 8 25 4" xfId="8176"/>
    <cellStyle name="Финансовый 8 26" xfId="1074"/>
    <cellStyle name="Финансовый 8 26 2" xfId="1075"/>
    <cellStyle name="Финансовый 8 26 2 2" xfId="2147"/>
    <cellStyle name="Финансовый 8 26 2 3" xfId="8178"/>
    <cellStyle name="Финансовый 8 26 3" xfId="2146"/>
    <cellStyle name="Финансовый 8 26 4" xfId="8177"/>
    <cellStyle name="Финансовый 8 27" xfId="1076"/>
    <cellStyle name="Финансовый 8 27 2" xfId="1077"/>
    <cellStyle name="Финансовый 8 27 2 2" xfId="2149"/>
    <cellStyle name="Финансовый 8 27 2 3" xfId="7369"/>
    <cellStyle name="Финансовый 8 27 3" xfId="2148"/>
    <cellStyle name="Финансовый 8 27 4" xfId="8231"/>
    <cellStyle name="Финансовый 8 28" xfId="1078"/>
    <cellStyle name="Финансовый 8 28 2" xfId="1079"/>
    <cellStyle name="Финансовый 8 28 2 2" xfId="2151"/>
    <cellStyle name="Финансовый 8 28 2 3" xfId="7453"/>
    <cellStyle name="Финансовый 8 28 3" xfId="2150"/>
    <cellStyle name="Финансовый 8 28 4" xfId="8179"/>
    <cellStyle name="Финансовый 8 29" xfId="1080"/>
    <cellStyle name="Финансовый 8 29 2" xfId="1081"/>
    <cellStyle name="Финансовый 8 29 2 2" xfId="2153"/>
    <cellStyle name="Финансовый 8 29 2 3" xfId="7380"/>
    <cellStyle name="Финансовый 8 29 3" xfId="2152"/>
    <cellStyle name="Финансовый 8 29 4" xfId="8180"/>
    <cellStyle name="Финансовый 8 3" xfId="107"/>
    <cellStyle name="Финансовый 8 3 2" xfId="1083"/>
    <cellStyle name="Финансовый 8 3 2 2" xfId="2155"/>
    <cellStyle name="Финансовый 8 3 2 3" xfId="7454"/>
    <cellStyle name="Финансовый 8 3 3" xfId="1082"/>
    <cellStyle name="Финансовый 8 3 3 2" xfId="6722"/>
    <cellStyle name="Финансовый 8 3 4" xfId="2154"/>
    <cellStyle name="Финансовый 8 3 4 2" xfId="8181"/>
    <cellStyle name="Финансовый 8 30" xfId="1084"/>
    <cellStyle name="Финансовый 8 30 2" xfId="1085"/>
    <cellStyle name="Финансовый 8 30 2 2" xfId="2157"/>
    <cellStyle name="Финансовый 8 30 2 3" xfId="7370"/>
    <cellStyle name="Финансовый 8 30 3" xfId="2156"/>
    <cellStyle name="Финансовый 8 30 4" xfId="8182"/>
    <cellStyle name="Финансовый 8 31" xfId="1086"/>
    <cellStyle name="Финансовый 8 31 2" xfId="1087"/>
    <cellStyle name="Финансовый 8 31 2 2" xfId="2159"/>
    <cellStyle name="Финансовый 8 31 2 3" xfId="7455"/>
    <cellStyle name="Финансовый 8 31 3" xfId="2158"/>
    <cellStyle name="Финансовый 8 31 4" xfId="8183"/>
    <cellStyle name="Финансовый 8 32" xfId="1088"/>
    <cellStyle name="Финансовый 8 32 2" xfId="1089"/>
    <cellStyle name="Финансовый 8 32 2 2" xfId="2161"/>
    <cellStyle name="Финансовый 8 32 2 3" xfId="7404"/>
    <cellStyle name="Финансовый 8 32 3" xfId="2160"/>
    <cellStyle name="Финансовый 8 32 4" xfId="8184"/>
    <cellStyle name="Финансовый 8 33" xfId="1090"/>
    <cellStyle name="Финансовый 8 33 2" xfId="1091"/>
    <cellStyle name="Финансовый 8 33 2 2" xfId="2163"/>
    <cellStyle name="Финансовый 8 33 2 3" xfId="8185"/>
    <cellStyle name="Финансовый 8 33 3" xfId="2162"/>
    <cellStyle name="Финансовый 8 33 4" xfId="8253"/>
    <cellStyle name="Финансовый 8 34" xfId="1092"/>
    <cellStyle name="Финансовый 8 34 2" xfId="1093"/>
    <cellStyle name="Финансовый 8 34 2 2" xfId="2165"/>
    <cellStyle name="Финансовый 8 34 2 3" xfId="8187"/>
    <cellStyle name="Финансовый 8 34 3" xfId="2164"/>
    <cellStyle name="Финансовый 8 34 4" xfId="8186"/>
    <cellStyle name="Финансовый 8 35" xfId="1094"/>
    <cellStyle name="Финансовый 8 35 2" xfId="1095"/>
    <cellStyle name="Финансовый 8 35 2 2" xfId="2167"/>
    <cellStyle name="Финансовый 8 35 2 3" xfId="7419"/>
    <cellStyle name="Финансовый 8 35 3" xfId="2166"/>
    <cellStyle name="Финансовый 8 35 4" xfId="8198"/>
    <cellStyle name="Финансовый 8 36" xfId="1096"/>
    <cellStyle name="Финансовый 8 36 2" xfId="1097"/>
    <cellStyle name="Финансовый 8 36 2 2" xfId="2169"/>
    <cellStyle name="Финансовый 8 36 2 3" xfId="8282"/>
    <cellStyle name="Финансовый 8 36 3" xfId="2168"/>
    <cellStyle name="Финансовый 8 36 4" xfId="8254"/>
    <cellStyle name="Финансовый 8 37" xfId="1098"/>
    <cellStyle name="Финансовый 8 37 2" xfId="1099"/>
    <cellStyle name="Финансовый 8 37 2 2" xfId="2171"/>
    <cellStyle name="Финансовый 8 37 2 3" xfId="8304"/>
    <cellStyle name="Финансовый 8 37 3" xfId="2170"/>
    <cellStyle name="Финансовый 8 37 4" xfId="8294"/>
    <cellStyle name="Финансовый 8 38" xfId="1100"/>
    <cellStyle name="Финансовый 8 38 2" xfId="1101"/>
    <cellStyle name="Финансовый 8 38 2 2" xfId="2173"/>
    <cellStyle name="Финансовый 8 38 2 3" xfId="8260"/>
    <cellStyle name="Финансовый 8 38 3" xfId="2172"/>
    <cellStyle name="Финансовый 8 38 4" xfId="8200"/>
    <cellStyle name="Финансовый 8 39" xfId="1102"/>
    <cellStyle name="Финансовый 8 39 2" xfId="1103"/>
    <cellStyle name="Финансовый 8 39 2 2" xfId="2175"/>
    <cellStyle name="Финансовый 8 39 2 3" xfId="8188"/>
    <cellStyle name="Финансовый 8 39 3" xfId="2174"/>
    <cellStyle name="Финансовый 8 39 4" xfId="8255"/>
    <cellStyle name="Финансовый 8 4" xfId="122"/>
    <cellStyle name="Финансовый 8 4 2" xfId="1105"/>
    <cellStyle name="Финансовый 8 4 2 2" xfId="2177"/>
    <cellStyle name="Финансовый 8 4 2 3" xfId="8113"/>
    <cellStyle name="Финансовый 8 4 3" xfId="1104"/>
    <cellStyle name="Финансовый 8 4 3 2" xfId="7321"/>
    <cellStyle name="Финансовый 8 4 4" xfId="2176"/>
    <cellStyle name="Финансовый 8 4 4 2" xfId="8189"/>
    <cellStyle name="Финансовый 8 40" xfId="1106"/>
    <cellStyle name="Финансовый 8 40 2" xfId="2178"/>
    <cellStyle name="Финансовый 8 40 3" xfId="8202"/>
    <cellStyle name="Финансовый 8 41" xfId="1107"/>
    <cellStyle name="Финансовый 8 41 2" xfId="2179"/>
    <cellStyle name="Финансовый 8 41 3" xfId="7420"/>
    <cellStyle name="Финансовый 8 42" xfId="1040"/>
    <cellStyle name="Финансовый 8 42 2" xfId="2180"/>
    <cellStyle name="Финансовый 8 42 3" xfId="8256"/>
    <cellStyle name="Финансовый 8 43" xfId="2181"/>
    <cellStyle name="Финансовый 8 43 2" xfId="2852"/>
    <cellStyle name="Финансовый 8 43 2 2" xfId="7328"/>
    <cellStyle name="Финансовый 8 43 3" xfId="8190"/>
    <cellStyle name="Финансовый 8 44" xfId="2182"/>
    <cellStyle name="Финансовый 8 44 2" xfId="2853"/>
    <cellStyle name="Финансовый 8 44 2 2" xfId="6140"/>
    <cellStyle name="Финансовый 8 44 3" xfId="8191"/>
    <cellStyle name="Финансовый 8 45" xfId="2183"/>
    <cellStyle name="Финансовый 8 45 2" xfId="2854"/>
    <cellStyle name="Финансовый 8 45 2 2" xfId="5923"/>
    <cellStyle name="Финансовый 8 45 3" xfId="8192"/>
    <cellStyle name="Финансовый 8 46" xfId="2184"/>
    <cellStyle name="Финансовый 8 46 2" xfId="2878"/>
    <cellStyle name="Финансовый 8 46 2 2" xfId="7160"/>
    <cellStyle name="Финансовый 8 46 3" xfId="8204"/>
    <cellStyle name="Финансовый 8 47" xfId="2112"/>
    <cellStyle name="Финансовый 8 48" xfId="7394"/>
    <cellStyle name="Финансовый 8 5" xfId="115"/>
    <cellStyle name="Финансовый 8 5 2" xfId="1109"/>
    <cellStyle name="Финансовый 8 5 2 2" xfId="2186"/>
    <cellStyle name="Финансовый 8 5 2 3" xfId="8257"/>
    <cellStyle name="Финансовый 8 5 3" xfId="1108"/>
    <cellStyle name="Финансовый 8 5 3 2" xfId="7148"/>
    <cellStyle name="Финансовый 8 5 4" xfId="2185"/>
    <cellStyle name="Финансовый 8 5 4 2" xfId="8262"/>
    <cellStyle name="Финансовый 8 6" xfId="152"/>
    <cellStyle name="Финансовый 8 6 2" xfId="1111"/>
    <cellStyle name="Финансовый 8 6 2 2" xfId="2188"/>
    <cellStyle name="Финансовый 8 6 2 3" xfId="8194"/>
    <cellStyle name="Финансовый 8 6 3" xfId="1110"/>
    <cellStyle name="Финансовый 8 6 3 2" xfId="6387"/>
    <cellStyle name="Финансовый 8 6 4" xfId="2187"/>
    <cellStyle name="Финансовый 8 6 4 2" xfId="8193"/>
    <cellStyle name="Финансовый 8 7" xfId="167"/>
    <cellStyle name="Финансовый 8 7 2" xfId="1113"/>
    <cellStyle name="Финансовый 8 7 2 2" xfId="2190"/>
    <cellStyle name="Финансовый 8 7 2 3" xfId="8206"/>
    <cellStyle name="Финансовый 8 7 3" xfId="1112"/>
    <cellStyle name="Финансовый 8 7 3 2" xfId="6182"/>
    <cellStyle name="Финансовый 8 7 4" xfId="2189"/>
    <cellStyle name="Финансовый 8 7 4 2" xfId="8195"/>
    <cellStyle name="Финансовый 8 8" xfId="185"/>
    <cellStyle name="Финансовый 8 8 2" xfId="1115"/>
    <cellStyle name="Финансовый 8 8 2 2" xfId="2192"/>
    <cellStyle name="Финансовый 8 8 2 3" xfId="7451"/>
    <cellStyle name="Финансовый 8 8 3" xfId="1114"/>
    <cellStyle name="Финансовый 8 8 3 2" xfId="7356"/>
    <cellStyle name="Финансовый 8 8 4" xfId="2191"/>
    <cellStyle name="Финансовый 8 8 4 2" xfId="8332"/>
    <cellStyle name="Финансовый 8 9" xfId="188"/>
    <cellStyle name="Финансовый 8 9 2" xfId="1117"/>
    <cellStyle name="Финансовый 8 9 2 2" xfId="2194"/>
    <cellStyle name="Финансовый 8 9 2 3" xfId="8197"/>
    <cellStyle name="Финансовый 8 9 3" xfId="1116"/>
    <cellStyle name="Финансовый 8 9 3 2" xfId="7357"/>
    <cellStyle name="Финансовый 8 9 4" xfId="2193"/>
    <cellStyle name="Финансовый 8 9 4 2" xfId="8196"/>
    <cellStyle name="Финансовый 9" xfId="55"/>
    <cellStyle name="Хороший" xfId="17" builtinId="26" customBuiltin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367"/>
  <sheetViews>
    <sheetView tabSelected="1" zoomScale="70" zoomScaleNormal="70" zoomScaleSheetLayoutView="25" workbookViewId="0">
      <pane ySplit="1" topLeftCell="A152" activePane="bottomLeft" state="frozen"/>
      <selection activeCell="E1" sqref="E1"/>
      <selection pane="bottomLeft" activeCell="C174" sqref="C174"/>
    </sheetView>
  </sheetViews>
  <sheetFormatPr defaultRowHeight="12.75"/>
  <cols>
    <col min="1" max="1" width="11" style="1" customWidth="1"/>
    <col min="2" max="2" width="33.28515625" style="1" customWidth="1"/>
    <col min="3" max="3" width="38.7109375" style="1" customWidth="1"/>
    <col min="4" max="4" width="0.140625" style="19" hidden="1" customWidth="1"/>
    <col min="5" max="5" width="17" style="19" hidden="1" customWidth="1"/>
    <col min="6" max="6" width="16.140625" style="19" hidden="1" customWidth="1"/>
    <col min="7" max="7" width="14.28515625" style="41" hidden="1" customWidth="1"/>
    <col min="8" max="9" width="16.28515625" style="48" customWidth="1"/>
    <col min="10" max="10" width="29.42578125" style="9" customWidth="1"/>
    <col min="11" max="11" width="29.28515625" style="2" customWidth="1"/>
    <col min="12" max="12" width="22.5703125" style="33" hidden="1" customWidth="1"/>
    <col min="13" max="13" width="0.42578125" style="33" hidden="1" customWidth="1"/>
    <col min="14" max="14" width="23.140625" style="33" hidden="1" customWidth="1"/>
    <col min="15" max="15" width="23.5703125" style="33" hidden="1" customWidth="1"/>
    <col min="16" max="16" width="23.42578125" style="33" hidden="1" customWidth="1"/>
    <col min="17" max="17" width="24.42578125" style="33" hidden="1" customWidth="1"/>
    <col min="18" max="18" width="22.140625" style="33" hidden="1" customWidth="1"/>
    <col min="19" max="19" width="23.140625" style="25" hidden="1" customWidth="1"/>
    <col min="20" max="20" width="13.7109375" style="25" hidden="1" customWidth="1"/>
    <col min="21" max="21" width="20" style="62" hidden="1" customWidth="1"/>
    <col min="22" max="22" width="23.7109375" style="3" hidden="1" customWidth="1"/>
    <col min="23" max="23" width="21.140625" style="3" hidden="1" customWidth="1"/>
    <col min="24" max="24" width="25.42578125" style="9" customWidth="1"/>
    <col min="25" max="25" width="2.85546875" style="1" hidden="1" customWidth="1"/>
    <col min="26" max="26" width="10.85546875" style="1" hidden="1" customWidth="1"/>
    <col min="27" max="27" width="14.140625" style="1" hidden="1" customWidth="1"/>
    <col min="28" max="28" width="27.85546875" style="1" customWidth="1"/>
    <col min="29" max="29" width="12" style="1" customWidth="1"/>
    <col min="30" max="16384" width="9.140625" style="1"/>
  </cols>
  <sheetData>
    <row r="1" spans="1:27" ht="47.25" customHeight="1">
      <c r="A1" s="100" t="s">
        <v>0</v>
      </c>
      <c r="B1" s="101" t="s">
        <v>399</v>
      </c>
      <c r="C1" s="101" t="s">
        <v>1</v>
      </c>
      <c r="D1" s="102"/>
      <c r="E1" s="102"/>
      <c r="F1" s="102"/>
      <c r="G1" s="103"/>
      <c r="H1" s="104" t="s">
        <v>255</v>
      </c>
      <c r="I1" s="104" t="s">
        <v>400</v>
      </c>
      <c r="J1" s="104" t="s">
        <v>257</v>
      </c>
      <c r="K1" s="105" t="s">
        <v>235</v>
      </c>
      <c r="L1" s="106"/>
      <c r="M1" s="106"/>
      <c r="N1" s="106"/>
      <c r="O1" s="106"/>
      <c r="P1" s="106"/>
      <c r="Q1" s="106"/>
      <c r="R1" s="102"/>
      <c r="S1" s="106"/>
      <c r="T1" s="106"/>
      <c r="U1" s="107"/>
      <c r="V1" s="104"/>
      <c r="W1" s="104"/>
      <c r="X1" s="108" t="s">
        <v>401</v>
      </c>
      <c r="Y1" s="19"/>
    </row>
    <row r="2" spans="1:27" ht="30" customHeight="1">
      <c r="A2" s="109">
        <v>1</v>
      </c>
      <c r="B2" s="93">
        <v>2</v>
      </c>
      <c r="C2" s="93">
        <v>3</v>
      </c>
      <c r="D2" s="69"/>
      <c r="E2" s="69"/>
      <c r="F2" s="69"/>
      <c r="G2" s="90"/>
      <c r="H2" s="93">
        <v>4</v>
      </c>
      <c r="I2" s="93">
        <v>5</v>
      </c>
      <c r="J2" s="93">
        <v>6</v>
      </c>
      <c r="K2" s="93">
        <v>7</v>
      </c>
      <c r="L2" s="97"/>
      <c r="M2" s="97"/>
      <c r="N2" s="97"/>
      <c r="O2" s="97"/>
      <c r="P2" s="97"/>
      <c r="Q2" s="97"/>
      <c r="R2" s="98"/>
      <c r="S2" s="97"/>
      <c r="T2" s="97"/>
      <c r="U2" s="99"/>
      <c r="V2" s="93"/>
      <c r="W2" s="93"/>
      <c r="X2" s="110">
        <v>8</v>
      </c>
      <c r="Y2" s="19"/>
    </row>
    <row r="3" spans="1:27" s="10" customFormat="1" ht="30" customHeight="1">
      <c r="A3" s="111">
        <v>1</v>
      </c>
      <c r="B3" s="68" t="s">
        <v>4</v>
      </c>
      <c r="C3" s="68" t="s">
        <v>13</v>
      </c>
      <c r="D3" s="69"/>
      <c r="E3" s="69">
        <v>7.38</v>
      </c>
      <c r="F3" s="69"/>
      <c r="G3" s="112">
        <v>637.59</v>
      </c>
      <c r="H3" s="70">
        <v>41936</v>
      </c>
      <c r="I3" s="70">
        <v>41974</v>
      </c>
      <c r="J3" s="91" t="s">
        <v>124</v>
      </c>
      <c r="K3" s="91" t="s">
        <v>123</v>
      </c>
      <c r="L3" s="71">
        <f>M3+O3</f>
        <v>442015.97519999999</v>
      </c>
      <c r="M3" s="72">
        <v>436137.39539999998</v>
      </c>
      <c r="N3" s="113">
        <v>9.2200000000000006</v>
      </c>
      <c r="O3" s="72">
        <f t="shared" ref="O3:O66" si="0">N3*G3</f>
        <v>5878.5798000000004</v>
      </c>
      <c r="P3" s="72">
        <f>G3*E3</f>
        <v>4705.4142000000002</v>
      </c>
      <c r="Q3" s="71">
        <f>R3+O3</f>
        <v>16462.573800000002</v>
      </c>
      <c r="R3" s="72">
        <v>10583.994000000001</v>
      </c>
      <c r="S3" s="71">
        <f>T3+U3</f>
        <v>471798.38000000006</v>
      </c>
      <c r="T3" s="72">
        <v>430037.30000000005</v>
      </c>
      <c r="U3" s="76">
        <f>41761.08</f>
        <v>41761.08</v>
      </c>
      <c r="V3" s="76"/>
      <c r="W3" s="76">
        <f>L3-S3</f>
        <v>-29782.404800000077</v>
      </c>
      <c r="X3" s="114">
        <f>S3-V3</f>
        <v>471798.38000000006</v>
      </c>
      <c r="Y3" s="50">
        <f t="shared" ref="Y3:Y38" si="1">(6.3*G3)+(6.53*G3*8)</f>
        <v>37324.518600000003</v>
      </c>
      <c r="Z3" s="10">
        <f t="shared" ref="Z3:Z38" si="2">E3*G3</f>
        <v>4705.4142000000002</v>
      </c>
      <c r="AA3" s="53">
        <f t="shared" ref="AA3:AA38" si="3">E3*G3*7</f>
        <v>32937.899400000002</v>
      </c>
    </row>
    <row r="4" spans="1:27" s="10" customFormat="1" ht="30" customHeight="1">
      <c r="A4" s="111">
        <v>2</v>
      </c>
      <c r="B4" s="68" t="s">
        <v>5</v>
      </c>
      <c r="C4" s="68" t="s">
        <v>14</v>
      </c>
      <c r="D4" s="69" t="s">
        <v>266</v>
      </c>
      <c r="E4" s="69">
        <v>7.38</v>
      </c>
      <c r="F4" s="69"/>
      <c r="G4" s="115">
        <v>5328.32</v>
      </c>
      <c r="H4" s="70">
        <v>41914</v>
      </c>
      <c r="I4" s="70">
        <v>41974</v>
      </c>
      <c r="J4" s="91" t="s">
        <v>127</v>
      </c>
      <c r="K4" s="91" t="s">
        <v>125</v>
      </c>
      <c r="L4" s="71">
        <f t="shared" ref="L4:L67" si="4">M4+O4</f>
        <v>3816893.5640000002</v>
      </c>
      <c r="M4" s="72">
        <v>3767766.4536000001</v>
      </c>
      <c r="N4" s="113">
        <v>9.2200000000000006</v>
      </c>
      <c r="O4" s="72">
        <f t="shared" si="0"/>
        <v>49127.110399999998</v>
      </c>
      <c r="P4" s="72">
        <f t="shared" ref="P4:P67" si="5">G4*E4</f>
        <v>39323.001599999996</v>
      </c>
      <c r="Q4" s="71">
        <f t="shared" ref="Q4:Q67" si="6">R4+O4</f>
        <v>137577.2224</v>
      </c>
      <c r="R4" s="72">
        <v>88450.111999999994</v>
      </c>
      <c r="S4" s="71">
        <f t="shared" ref="S4:S67" si="7">T4+U4</f>
        <v>3740337.5999999996</v>
      </c>
      <c r="T4" s="72">
        <v>3463365.7399999998</v>
      </c>
      <c r="U4" s="77">
        <f>276971.86</f>
        <v>276971.86</v>
      </c>
      <c r="V4" s="76"/>
      <c r="W4" s="76">
        <f t="shared" ref="W4:W67" si="8">L4-S4</f>
        <v>76555.964000000618</v>
      </c>
      <c r="X4" s="114">
        <f t="shared" ref="X4:X67" si="9">S4-V4</f>
        <v>3740337.5999999996</v>
      </c>
      <c r="Y4" s="50">
        <f t="shared" si="1"/>
        <v>311919.85279999999</v>
      </c>
      <c r="Z4" s="10">
        <f t="shared" si="2"/>
        <v>39323.001599999996</v>
      </c>
      <c r="AA4" s="53">
        <f t="shared" si="3"/>
        <v>275261.01119999995</v>
      </c>
    </row>
    <row r="5" spans="1:27" s="10" customFormat="1" ht="30" customHeight="1">
      <c r="A5" s="111">
        <v>3</v>
      </c>
      <c r="B5" s="68" t="s">
        <v>5</v>
      </c>
      <c r="C5" s="68" t="s">
        <v>15</v>
      </c>
      <c r="D5" s="69" t="s">
        <v>266</v>
      </c>
      <c r="E5" s="69">
        <v>7.38</v>
      </c>
      <c r="F5" s="69"/>
      <c r="G5" s="115">
        <v>3269.89</v>
      </c>
      <c r="H5" s="70">
        <v>41914</v>
      </c>
      <c r="I5" s="70">
        <v>41974</v>
      </c>
      <c r="J5" s="91" t="s">
        <v>128</v>
      </c>
      <c r="K5" s="91" t="s">
        <v>125</v>
      </c>
      <c r="L5" s="71">
        <f t="shared" si="4"/>
        <v>2342461.3779999991</v>
      </c>
      <c r="M5" s="72">
        <v>2312312.9921999993</v>
      </c>
      <c r="N5" s="113">
        <v>9.2200000000000006</v>
      </c>
      <c r="O5" s="72">
        <f t="shared" si="0"/>
        <v>30148.3858</v>
      </c>
      <c r="P5" s="72">
        <f t="shared" si="5"/>
        <v>24131.788199999999</v>
      </c>
      <c r="Q5" s="71">
        <f t="shared" si="6"/>
        <v>84428.559800000003</v>
      </c>
      <c r="R5" s="72">
        <v>54280.173999999999</v>
      </c>
      <c r="S5" s="71">
        <f t="shared" si="7"/>
        <v>2570891.9</v>
      </c>
      <c r="T5" s="72">
        <v>2380078.5099999998</v>
      </c>
      <c r="U5" s="77">
        <f>190813.39</f>
        <v>190813.39</v>
      </c>
      <c r="V5" s="76"/>
      <c r="W5" s="76">
        <f t="shared" si="8"/>
        <v>-228430.52200000081</v>
      </c>
      <c r="X5" s="114">
        <f t="shared" si="9"/>
        <v>2570891.9</v>
      </c>
      <c r="Y5" s="50">
        <f t="shared" si="1"/>
        <v>191419.36060000001</v>
      </c>
      <c r="Z5" s="10">
        <f t="shared" si="2"/>
        <v>24131.788199999999</v>
      </c>
      <c r="AA5" s="53">
        <f t="shared" si="3"/>
        <v>168922.51739999998</v>
      </c>
    </row>
    <row r="6" spans="1:27" s="10" customFormat="1" ht="30" customHeight="1">
      <c r="A6" s="111">
        <v>4</v>
      </c>
      <c r="B6" s="68" t="s">
        <v>6</v>
      </c>
      <c r="C6" s="68" t="s">
        <v>16</v>
      </c>
      <c r="D6" s="69" t="s">
        <v>266</v>
      </c>
      <c r="E6" s="69">
        <v>7.38</v>
      </c>
      <c r="F6" s="69"/>
      <c r="G6" s="116">
        <v>854.24</v>
      </c>
      <c r="H6" s="70">
        <v>42079</v>
      </c>
      <c r="I6" s="70">
        <v>41974</v>
      </c>
      <c r="J6" s="91" t="s">
        <v>129</v>
      </c>
      <c r="K6" s="91" t="s">
        <v>125</v>
      </c>
      <c r="L6" s="71">
        <f t="shared" si="4"/>
        <v>611935.4879999999</v>
      </c>
      <c r="M6" s="72">
        <v>604059.39519999991</v>
      </c>
      <c r="N6" s="113">
        <v>9.2200000000000006</v>
      </c>
      <c r="O6" s="72">
        <f t="shared" si="0"/>
        <v>7876.0928000000004</v>
      </c>
      <c r="P6" s="72">
        <f t="shared" si="5"/>
        <v>6304.2911999999997</v>
      </c>
      <c r="Q6" s="71">
        <f t="shared" si="6"/>
        <v>22056.4768</v>
      </c>
      <c r="R6" s="72">
        <v>14180.384</v>
      </c>
      <c r="S6" s="71">
        <f t="shared" si="7"/>
        <v>549897.73</v>
      </c>
      <c r="T6" s="72">
        <v>518741.44</v>
      </c>
      <c r="U6" s="77">
        <f>18361.16+12795.13</f>
        <v>31156.29</v>
      </c>
      <c r="V6" s="76"/>
      <c r="W6" s="76">
        <f>L6-S6</f>
        <v>62037.757999999914</v>
      </c>
      <c r="X6" s="114">
        <f>S6-V6</f>
        <v>549897.73</v>
      </c>
      <c r="Y6" s="50">
        <f t="shared" si="1"/>
        <v>50007.209600000002</v>
      </c>
      <c r="Z6" s="10">
        <f t="shared" si="2"/>
        <v>6304.2911999999997</v>
      </c>
      <c r="AA6" s="53">
        <f t="shared" si="3"/>
        <v>44130.038399999998</v>
      </c>
    </row>
    <row r="7" spans="1:27" s="10" customFormat="1" ht="30" customHeight="1">
      <c r="A7" s="111">
        <v>5</v>
      </c>
      <c r="B7" s="68" t="s">
        <v>6</v>
      </c>
      <c r="C7" s="68" t="s">
        <v>17</v>
      </c>
      <c r="D7" s="69" t="s">
        <v>266</v>
      </c>
      <c r="E7" s="69">
        <v>7.38</v>
      </c>
      <c r="F7" s="69"/>
      <c r="G7" s="115">
        <v>568.6</v>
      </c>
      <c r="H7" s="70">
        <v>42080</v>
      </c>
      <c r="I7" s="70">
        <v>41974</v>
      </c>
      <c r="J7" s="91" t="s">
        <v>130</v>
      </c>
      <c r="K7" s="91" t="s">
        <v>125</v>
      </c>
      <c r="L7" s="71">
        <f t="shared" si="4"/>
        <v>407310.96</v>
      </c>
      <c r="M7" s="72">
        <v>402068.46799999999</v>
      </c>
      <c r="N7" s="113">
        <v>9.2200000000000006</v>
      </c>
      <c r="O7" s="72">
        <f t="shared" si="0"/>
        <v>5242.4920000000002</v>
      </c>
      <c r="P7" s="72">
        <f t="shared" si="5"/>
        <v>4196.268</v>
      </c>
      <c r="Q7" s="71">
        <f t="shared" si="6"/>
        <v>14681.252</v>
      </c>
      <c r="R7" s="72">
        <v>9438.76</v>
      </c>
      <c r="S7" s="71">
        <f t="shared" si="7"/>
        <v>349833.35</v>
      </c>
      <c r="T7" s="72">
        <v>334620.05</v>
      </c>
      <c r="U7" s="77">
        <f>15213.3</f>
        <v>15213.3</v>
      </c>
      <c r="V7" s="76"/>
      <c r="W7" s="76">
        <f t="shared" si="8"/>
        <v>57477.610000000044</v>
      </c>
      <c r="X7" s="114">
        <f t="shared" si="9"/>
        <v>349833.35</v>
      </c>
      <c r="Y7" s="50">
        <f t="shared" si="1"/>
        <v>33285.843999999997</v>
      </c>
      <c r="Z7" s="10">
        <f t="shared" si="2"/>
        <v>4196.268</v>
      </c>
      <c r="AA7" s="53">
        <f t="shared" si="3"/>
        <v>29373.876</v>
      </c>
    </row>
    <row r="8" spans="1:27" s="10" customFormat="1" ht="30" customHeight="1">
      <c r="A8" s="111">
        <v>6</v>
      </c>
      <c r="B8" s="68" t="s">
        <v>6</v>
      </c>
      <c r="C8" s="68" t="s">
        <v>18</v>
      </c>
      <c r="D8" s="69" t="s">
        <v>266</v>
      </c>
      <c r="E8" s="69">
        <v>7.38</v>
      </c>
      <c r="F8" s="69"/>
      <c r="G8" s="115">
        <v>842.17</v>
      </c>
      <c r="H8" s="70">
        <v>42079</v>
      </c>
      <c r="I8" s="70">
        <v>41974</v>
      </c>
      <c r="J8" s="91" t="s">
        <v>131</v>
      </c>
      <c r="K8" s="91" t="s">
        <v>125</v>
      </c>
      <c r="L8" s="71">
        <f t="shared" si="4"/>
        <v>603279.85400000005</v>
      </c>
      <c r="M8" s="72">
        <v>595515.0466</v>
      </c>
      <c r="N8" s="113">
        <v>9.2200000000000006</v>
      </c>
      <c r="O8" s="72">
        <f t="shared" si="0"/>
        <v>7764.8074000000006</v>
      </c>
      <c r="P8" s="72">
        <f t="shared" si="5"/>
        <v>6215.2145999999993</v>
      </c>
      <c r="Q8" s="71">
        <f t="shared" si="6"/>
        <v>21744.829400000002</v>
      </c>
      <c r="R8" s="72">
        <v>13980.022000000001</v>
      </c>
      <c r="S8" s="71">
        <f t="shared" si="7"/>
        <v>641106.75</v>
      </c>
      <c r="T8" s="72">
        <v>600224.63</v>
      </c>
      <c r="U8" s="77">
        <f>40882.12</f>
        <v>40882.120000000003</v>
      </c>
      <c r="V8" s="76"/>
      <c r="W8" s="76">
        <f t="shared" si="8"/>
        <v>-37826.89599999995</v>
      </c>
      <c r="X8" s="114">
        <f t="shared" si="9"/>
        <v>641106.75</v>
      </c>
      <c r="Y8" s="50">
        <f t="shared" si="1"/>
        <v>49300.631800000003</v>
      </c>
      <c r="Z8" s="10">
        <f t="shared" si="2"/>
        <v>6215.2145999999993</v>
      </c>
      <c r="AA8" s="53">
        <f t="shared" si="3"/>
        <v>43506.502199999995</v>
      </c>
    </row>
    <row r="9" spans="1:27" s="10" customFormat="1" ht="30" customHeight="1">
      <c r="A9" s="111">
        <v>7</v>
      </c>
      <c r="B9" s="68" t="s">
        <v>6</v>
      </c>
      <c r="C9" s="68" t="s">
        <v>19</v>
      </c>
      <c r="D9" s="69" t="s">
        <v>266</v>
      </c>
      <c r="E9" s="69">
        <v>7.38</v>
      </c>
      <c r="F9" s="69"/>
      <c r="G9" s="115">
        <v>830.17</v>
      </c>
      <c r="H9" s="70">
        <v>42080</v>
      </c>
      <c r="I9" s="70">
        <v>41974</v>
      </c>
      <c r="J9" s="91" t="s">
        <v>132</v>
      </c>
      <c r="K9" s="91" t="s">
        <v>125</v>
      </c>
      <c r="L9" s="71">
        <f t="shared" si="4"/>
        <v>594684.33400000003</v>
      </c>
      <c r="M9" s="72">
        <v>587030.1666</v>
      </c>
      <c r="N9" s="113">
        <v>9.2200000000000006</v>
      </c>
      <c r="O9" s="72">
        <f t="shared" si="0"/>
        <v>7654.1674000000003</v>
      </c>
      <c r="P9" s="72">
        <f t="shared" si="5"/>
        <v>6126.6545999999998</v>
      </c>
      <c r="Q9" s="71">
        <f t="shared" si="6"/>
        <v>21434.989399999999</v>
      </c>
      <c r="R9" s="72">
        <v>13780.822</v>
      </c>
      <c r="S9" s="71">
        <f t="shared" si="7"/>
        <v>599287.82999999996</v>
      </c>
      <c r="T9" s="72">
        <v>555343.82999999996</v>
      </c>
      <c r="U9" s="77">
        <f>43944</f>
        <v>43944</v>
      </c>
      <c r="V9" s="76"/>
      <c r="W9" s="76">
        <f t="shared" si="8"/>
        <v>-4603.4959999999264</v>
      </c>
      <c r="X9" s="114">
        <f t="shared" si="9"/>
        <v>599287.82999999996</v>
      </c>
      <c r="Y9" s="50">
        <f t="shared" si="1"/>
        <v>48598.151799999992</v>
      </c>
      <c r="Z9" s="10">
        <f t="shared" si="2"/>
        <v>6126.6545999999998</v>
      </c>
      <c r="AA9" s="53">
        <f t="shared" si="3"/>
        <v>42886.582199999997</v>
      </c>
    </row>
    <row r="10" spans="1:27" s="10" customFormat="1" ht="30" customHeight="1">
      <c r="A10" s="111">
        <v>8</v>
      </c>
      <c r="B10" s="68" t="s">
        <v>6</v>
      </c>
      <c r="C10" s="68" t="s">
        <v>20</v>
      </c>
      <c r="D10" s="69" t="s">
        <v>266</v>
      </c>
      <c r="E10" s="69">
        <v>7.38</v>
      </c>
      <c r="F10" s="69"/>
      <c r="G10" s="115">
        <v>1286</v>
      </c>
      <c r="H10" s="70">
        <v>42772</v>
      </c>
      <c r="I10" s="70">
        <v>41974</v>
      </c>
      <c r="J10" s="91" t="s">
        <v>133</v>
      </c>
      <c r="K10" s="91" t="s">
        <v>125</v>
      </c>
      <c r="L10" s="71">
        <f t="shared" si="4"/>
        <v>957488.44000000018</v>
      </c>
      <c r="M10" s="72">
        <v>945631.52000000014</v>
      </c>
      <c r="N10" s="113">
        <v>9.2200000000000006</v>
      </c>
      <c r="O10" s="72">
        <f t="shared" si="0"/>
        <v>11856.92</v>
      </c>
      <c r="P10" s="72">
        <f t="shared" si="5"/>
        <v>9490.68</v>
      </c>
      <c r="Q10" s="71">
        <f t="shared" si="6"/>
        <v>33204.519999999997</v>
      </c>
      <c r="R10" s="72">
        <v>21347.599999999999</v>
      </c>
      <c r="S10" s="71">
        <f t="shared" si="7"/>
        <v>880898.19</v>
      </c>
      <c r="T10" s="72">
        <v>820510.71999999997</v>
      </c>
      <c r="U10" s="77">
        <f>60387.47</f>
        <v>60387.47</v>
      </c>
      <c r="V10" s="76"/>
      <c r="W10" s="76">
        <f t="shared" si="8"/>
        <v>76590.250000000233</v>
      </c>
      <c r="X10" s="114">
        <f t="shared" si="9"/>
        <v>880898.19</v>
      </c>
      <c r="Y10" s="50">
        <f t="shared" si="1"/>
        <v>75282.44</v>
      </c>
      <c r="Z10" s="10">
        <f t="shared" si="2"/>
        <v>9490.68</v>
      </c>
      <c r="AA10" s="53">
        <f t="shared" si="3"/>
        <v>66434.760000000009</v>
      </c>
    </row>
    <row r="11" spans="1:27" s="10" customFormat="1" ht="30" customHeight="1">
      <c r="A11" s="111">
        <v>9</v>
      </c>
      <c r="B11" s="68" t="s">
        <v>7</v>
      </c>
      <c r="C11" s="68" t="s">
        <v>21</v>
      </c>
      <c r="D11" s="69" t="s">
        <v>266</v>
      </c>
      <c r="E11" s="69">
        <v>7.38</v>
      </c>
      <c r="F11" s="69"/>
      <c r="G11" s="112">
        <v>5455</v>
      </c>
      <c r="H11" s="94">
        <v>41999</v>
      </c>
      <c r="I11" s="70">
        <v>41974</v>
      </c>
      <c r="J11" s="117" t="s">
        <v>305</v>
      </c>
      <c r="K11" s="68" t="s">
        <v>134</v>
      </c>
      <c r="L11" s="118">
        <f t="shared" si="4"/>
        <v>3907902.37</v>
      </c>
      <c r="M11" s="119">
        <v>3857607.27</v>
      </c>
      <c r="N11" s="120">
        <v>9.2200000000000006</v>
      </c>
      <c r="O11" s="121">
        <f t="shared" si="0"/>
        <v>50295.100000000006</v>
      </c>
      <c r="P11" s="121">
        <f t="shared" si="5"/>
        <v>40257.9</v>
      </c>
      <c r="Q11" s="118">
        <f t="shared" si="6"/>
        <v>140848.1</v>
      </c>
      <c r="R11" s="121">
        <v>90553</v>
      </c>
      <c r="S11" s="118">
        <f t="shared" si="7"/>
        <v>3807563.86</v>
      </c>
      <c r="T11" s="72">
        <v>3608203.01</v>
      </c>
      <c r="U11" s="78">
        <v>199360.85</v>
      </c>
      <c r="V11" s="76">
        <v>1199936</v>
      </c>
      <c r="W11" s="76">
        <f t="shared" si="8"/>
        <v>100338.51000000024</v>
      </c>
      <c r="X11" s="114">
        <f t="shared" si="9"/>
        <v>2607627.86</v>
      </c>
      <c r="Y11" s="50">
        <f t="shared" si="1"/>
        <v>319335.7</v>
      </c>
      <c r="Z11" s="10">
        <f t="shared" si="2"/>
        <v>40257.9</v>
      </c>
      <c r="AA11" s="53">
        <f t="shared" si="3"/>
        <v>281805.3</v>
      </c>
    </row>
    <row r="12" spans="1:27" s="10" customFormat="1" ht="30" customHeight="1">
      <c r="A12" s="111">
        <v>10</v>
      </c>
      <c r="B12" s="68" t="s">
        <v>7</v>
      </c>
      <c r="C12" s="68" t="s">
        <v>22</v>
      </c>
      <c r="D12" s="69" t="s">
        <v>266</v>
      </c>
      <c r="E12" s="69">
        <v>7.38</v>
      </c>
      <c r="F12" s="69"/>
      <c r="G12" s="115">
        <v>3785.5</v>
      </c>
      <c r="H12" s="70">
        <v>42929</v>
      </c>
      <c r="I12" s="70">
        <v>41974</v>
      </c>
      <c r="J12" s="91" t="s">
        <v>135</v>
      </c>
      <c r="K12" s="91" t="s">
        <v>125</v>
      </c>
      <c r="L12" s="71">
        <f t="shared" si="4"/>
        <v>2756693.0100000016</v>
      </c>
      <c r="M12" s="72">
        <v>2721790.7000000016</v>
      </c>
      <c r="N12" s="113">
        <v>9.2200000000000006</v>
      </c>
      <c r="O12" s="72">
        <f t="shared" si="0"/>
        <v>34902.310000000005</v>
      </c>
      <c r="P12" s="72">
        <f t="shared" si="5"/>
        <v>27936.989999999998</v>
      </c>
      <c r="Q12" s="71">
        <f t="shared" si="6"/>
        <v>97741.610000000015</v>
      </c>
      <c r="R12" s="72">
        <v>62839.3</v>
      </c>
      <c r="S12" s="71">
        <f t="shared" si="7"/>
        <v>2522287.04</v>
      </c>
      <c r="T12" s="72">
        <v>2353230.94</v>
      </c>
      <c r="U12" s="77">
        <f>169056.1</f>
        <v>169056.1</v>
      </c>
      <c r="V12" s="76">
        <v>317366</v>
      </c>
      <c r="W12" s="76">
        <f t="shared" si="8"/>
        <v>234405.9700000016</v>
      </c>
      <c r="X12" s="114">
        <f t="shared" si="9"/>
        <v>2204921.04</v>
      </c>
      <c r="Y12" s="50">
        <f t="shared" si="1"/>
        <v>221603.17</v>
      </c>
      <c r="Z12" s="10">
        <f t="shared" si="2"/>
        <v>27936.989999999998</v>
      </c>
      <c r="AA12" s="53">
        <f t="shared" si="3"/>
        <v>195558.93</v>
      </c>
    </row>
    <row r="13" spans="1:27" s="10" customFormat="1" ht="30" customHeight="1">
      <c r="A13" s="111">
        <v>11</v>
      </c>
      <c r="B13" s="68" t="s">
        <v>225</v>
      </c>
      <c r="C13" s="68" t="s">
        <v>23</v>
      </c>
      <c r="D13" s="69"/>
      <c r="E13" s="69">
        <v>7.38</v>
      </c>
      <c r="F13" s="69"/>
      <c r="G13" s="115">
        <v>2644.68</v>
      </c>
      <c r="H13" s="95">
        <v>41962</v>
      </c>
      <c r="I13" s="70">
        <v>41974</v>
      </c>
      <c r="J13" s="91" t="s">
        <v>136</v>
      </c>
      <c r="K13" s="91" t="s">
        <v>125</v>
      </c>
      <c r="L13" s="71">
        <f t="shared" si="4"/>
        <v>1874972.327199999</v>
      </c>
      <c r="M13" s="72">
        <v>1850588.3775999991</v>
      </c>
      <c r="N13" s="113">
        <v>9.2200000000000006</v>
      </c>
      <c r="O13" s="72">
        <f t="shared" si="0"/>
        <v>24383.9496</v>
      </c>
      <c r="P13" s="72">
        <f t="shared" si="5"/>
        <v>19517.738399999998</v>
      </c>
      <c r="Q13" s="71">
        <f t="shared" si="6"/>
        <v>68285.637599999987</v>
      </c>
      <c r="R13" s="72">
        <v>43901.687999999995</v>
      </c>
      <c r="S13" s="71">
        <f t="shared" si="7"/>
        <v>1807461.4700000002</v>
      </c>
      <c r="T13" s="72">
        <v>1705392.9100000001</v>
      </c>
      <c r="U13" s="77">
        <f>102068.56</f>
        <v>102068.56</v>
      </c>
      <c r="V13" s="76">
        <v>907613</v>
      </c>
      <c r="W13" s="76">
        <f t="shared" si="8"/>
        <v>67510.857199998805</v>
      </c>
      <c r="X13" s="114">
        <f t="shared" si="9"/>
        <v>899848.4700000002</v>
      </c>
      <c r="Y13" s="50">
        <f t="shared" si="1"/>
        <v>154819.56719999999</v>
      </c>
      <c r="Z13" s="10">
        <f t="shared" si="2"/>
        <v>19517.738399999998</v>
      </c>
      <c r="AA13" s="53">
        <f t="shared" si="3"/>
        <v>136624.16879999998</v>
      </c>
    </row>
    <row r="14" spans="1:27" s="10" customFormat="1" ht="30" customHeight="1">
      <c r="A14" s="111">
        <v>12</v>
      </c>
      <c r="B14" s="68" t="s">
        <v>225</v>
      </c>
      <c r="C14" s="68" t="s">
        <v>226</v>
      </c>
      <c r="D14" s="69"/>
      <c r="E14" s="69">
        <v>7.38</v>
      </c>
      <c r="F14" s="69"/>
      <c r="G14" s="115">
        <v>1264.0999999999999</v>
      </c>
      <c r="H14" s="95">
        <v>43260</v>
      </c>
      <c r="I14" s="70">
        <v>41974</v>
      </c>
      <c r="J14" s="91" t="s">
        <v>228</v>
      </c>
      <c r="K14" s="91" t="s">
        <v>125</v>
      </c>
      <c r="L14" s="71">
        <f t="shared" si="4"/>
        <v>896196.34400000027</v>
      </c>
      <c r="M14" s="72">
        <v>884541.3420000003</v>
      </c>
      <c r="N14" s="113">
        <v>9.2200000000000006</v>
      </c>
      <c r="O14" s="72">
        <f t="shared" si="0"/>
        <v>11655.002</v>
      </c>
      <c r="P14" s="72">
        <f t="shared" si="5"/>
        <v>9329.0579999999991</v>
      </c>
      <c r="Q14" s="71">
        <f t="shared" si="6"/>
        <v>32639.061999999998</v>
      </c>
      <c r="R14" s="72">
        <v>20984.059999999998</v>
      </c>
      <c r="S14" s="71">
        <f t="shared" si="7"/>
        <v>864973.84999999986</v>
      </c>
      <c r="T14" s="72">
        <v>817928.15999999992</v>
      </c>
      <c r="U14" s="77">
        <f>47045.69</f>
        <v>47045.69</v>
      </c>
      <c r="V14" s="76"/>
      <c r="W14" s="76">
        <f t="shared" si="8"/>
        <v>31222.494000000414</v>
      </c>
      <c r="X14" s="114">
        <f t="shared" si="9"/>
        <v>864973.84999999986</v>
      </c>
      <c r="Y14" s="50">
        <f t="shared" si="1"/>
        <v>74000.414000000004</v>
      </c>
      <c r="Z14" s="10">
        <f t="shared" si="2"/>
        <v>9329.0579999999991</v>
      </c>
      <c r="AA14" s="53">
        <f t="shared" si="3"/>
        <v>65303.405999999995</v>
      </c>
    </row>
    <row r="15" spans="1:27" s="10" customFormat="1" ht="30" customHeight="1">
      <c r="A15" s="111">
        <v>13</v>
      </c>
      <c r="B15" s="68" t="s">
        <v>8</v>
      </c>
      <c r="C15" s="68" t="s">
        <v>349</v>
      </c>
      <c r="D15" s="69" t="s">
        <v>354</v>
      </c>
      <c r="E15" s="69">
        <v>8</v>
      </c>
      <c r="F15" s="69"/>
      <c r="G15" s="112">
        <v>3745.4</v>
      </c>
      <c r="H15" s="95">
        <v>44889</v>
      </c>
      <c r="I15" s="70">
        <v>41974</v>
      </c>
      <c r="J15" s="74" t="s">
        <v>350</v>
      </c>
      <c r="K15" s="91" t="s">
        <v>125</v>
      </c>
      <c r="L15" s="71">
        <f t="shared" si="4"/>
        <v>490722.30800000008</v>
      </c>
      <c r="M15" s="72">
        <v>453268.30800000008</v>
      </c>
      <c r="N15" s="113">
        <v>10</v>
      </c>
      <c r="O15" s="72">
        <f t="shared" si="0"/>
        <v>37454</v>
      </c>
      <c r="P15" s="72">
        <f t="shared" si="5"/>
        <v>29963.200000000001</v>
      </c>
      <c r="Q15" s="71">
        <f t="shared" si="6"/>
        <v>104871.2</v>
      </c>
      <c r="R15" s="72">
        <v>67417.2</v>
      </c>
      <c r="S15" s="71">
        <f t="shared" si="7"/>
        <v>433800.91000000003</v>
      </c>
      <c r="T15" s="72">
        <v>312620.08</v>
      </c>
      <c r="U15" s="77">
        <f>121180.83</f>
        <v>121180.83</v>
      </c>
      <c r="V15" s="76"/>
      <c r="W15" s="76">
        <f t="shared" si="8"/>
        <v>56921.398000000045</v>
      </c>
      <c r="X15" s="114">
        <f t="shared" si="9"/>
        <v>433800.91000000003</v>
      </c>
      <c r="Y15" s="50">
        <f t="shared" si="1"/>
        <v>219255.71600000001</v>
      </c>
      <c r="Z15" s="10">
        <f t="shared" si="2"/>
        <v>29963.200000000001</v>
      </c>
      <c r="AA15" s="53">
        <f t="shared" si="3"/>
        <v>209742.4</v>
      </c>
    </row>
    <row r="16" spans="1:27" s="10" customFormat="1" ht="30" customHeight="1">
      <c r="A16" s="111">
        <v>14</v>
      </c>
      <c r="B16" s="68" t="s">
        <v>8</v>
      </c>
      <c r="C16" s="68" t="s">
        <v>24</v>
      </c>
      <c r="D16" s="69"/>
      <c r="E16" s="69">
        <v>8</v>
      </c>
      <c r="F16" s="69"/>
      <c r="G16" s="115">
        <v>9546.1</v>
      </c>
      <c r="H16" s="70">
        <v>43231</v>
      </c>
      <c r="I16" s="70">
        <v>41974</v>
      </c>
      <c r="J16" s="91" t="s">
        <v>137</v>
      </c>
      <c r="K16" s="91" t="s">
        <v>125</v>
      </c>
      <c r="L16" s="71">
        <f t="shared" si="4"/>
        <v>6921304.352</v>
      </c>
      <c r="M16" s="72">
        <v>6825843.352</v>
      </c>
      <c r="N16" s="113">
        <v>10</v>
      </c>
      <c r="O16" s="72">
        <f t="shared" si="0"/>
        <v>95461</v>
      </c>
      <c r="P16" s="72">
        <f t="shared" si="5"/>
        <v>76368.800000000003</v>
      </c>
      <c r="Q16" s="71">
        <f t="shared" si="6"/>
        <v>267290.8</v>
      </c>
      <c r="R16" s="72">
        <v>171829.8</v>
      </c>
      <c r="S16" s="71">
        <f t="shared" si="7"/>
        <v>6160818.7700000005</v>
      </c>
      <c r="T16" s="72">
        <v>5898836.2300000004</v>
      </c>
      <c r="U16" s="77">
        <f>261982.54</f>
        <v>261982.54</v>
      </c>
      <c r="V16" s="76"/>
      <c r="W16" s="76">
        <f t="shared" si="8"/>
        <v>760485.58199999947</v>
      </c>
      <c r="X16" s="114">
        <f t="shared" si="9"/>
        <v>6160818.7700000005</v>
      </c>
      <c r="Y16" s="50">
        <f t="shared" si="1"/>
        <v>558828.69400000002</v>
      </c>
      <c r="Z16" s="10">
        <f t="shared" si="2"/>
        <v>76368.800000000003</v>
      </c>
      <c r="AA16" s="53">
        <f t="shared" si="3"/>
        <v>534581.6</v>
      </c>
    </row>
    <row r="17" spans="1:27" s="10" customFormat="1" ht="30" customHeight="1">
      <c r="A17" s="111">
        <v>15</v>
      </c>
      <c r="B17" s="68" t="s">
        <v>9</v>
      </c>
      <c r="C17" s="68" t="s">
        <v>25</v>
      </c>
      <c r="D17" s="69" t="s">
        <v>266</v>
      </c>
      <c r="E17" s="69">
        <v>7.38</v>
      </c>
      <c r="F17" s="69"/>
      <c r="G17" s="122">
        <v>2974.1</v>
      </c>
      <c r="H17" s="70">
        <v>41915</v>
      </c>
      <c r="I17" s="70">
        <v>41974</v>
      </c>
      <c r="J17" s="74" t="s">
        <v>311</v>
      </c>
      <c r="K17" s="91" t="s">
        <v>138</v>
      </c>
      <c r="L17" s="71">
        <f t="shared" si="4"/>
        <v>2133132.79</v>
      </c>
      <c r="M17" s="72">
        <v>2105711.588</v>
      </c>
      <c r="N17" s="113">
        <v>9.2200000000000006</v>
      </c>
      <c r="O17" s="72">
        <f t="shared" si="0"/>
        <v>27421.202000000001</v>
      </c>
      <c r="P17" s="72">
        <f t="shared" si="5"/>
        <v>21948.858</v>
      </c>
      <c r="Q17" s="71">
        <f t="shared" si="6"/>
        <v>76791.262000000002</v>
      </c>
      <c r="R17" s="72">
        <v>49370.06</v>
      </c>
      <c r="S17" s="71">
        <f t="shared" si="7"/>
        <v>2093980.69</v>
      </c>
      <c r="T17" s="72">
        <v>1938603.19</v>
      </c>
      <c r="U17" s="78">
        <f>155377.5</f>
        <v>155377.5</v>
      </c>
      <c r="V17" s="76"/>
      <c r="W17" s="76">
        <f t="shared" si="8"/>
        <v>39152.100000000093</v>
      </c>
      <c r="X17" s="114">
        <f t="shared" si="9"/>
        <v>2093980.69</v>
      </c>
      <c r="Y17" s="50">
        <f t="shared" si="1"/>
        <v>174103.81399999998</v>
      </c>
      <c r="Z17" s="10">
        <f t="shared" si="2"/>
        <v>21948.858</v>
      </c>
      <c r="AA17" s="53">
        <f t="shared" si="3"/>
        <v>153642.00599999999</v>
      </c>
    </row>
    <row r="18" spans="1:27" s="10" customFormat="1" ht="30" customHeight="1">
      <c r="A18" s="111">
        <v>16</v>
      </c>
      <c r="B18" s="68" t="s">
        <v>9</v>
      </c>
      <c r="C18" s="68" t="s">
        <v>26</v>
      </c>
      <c r="D18" s="69" t="s">
        <v>267</v>
      </c>
      <c r="E18" s="69">
        <v>7.38</v>
      </c>
      <c r="F18" s="69"/>
      <c r="G18" s="123">
        <v>2833.6</v>
      </c>
      <c r="H18" s="70">
        <v>41997</v>
      </c>
      <c r="I18" s="70">
        <v>41974</v>
      </c>
      <c r="J18" s="91" t="s">
        <v>139</v>
      </c>
      <c r="K18" s="91" t="s">
        <v>123</v>
      </c>
      <c r="L18" s="71">
        <f t="shared" si="4"/>
        <v>2028517.5680000014</v>
      </c>
      <c r="M18" s="72">
        <v>2002391.7760000015</v>
      </c>
      <c r="N18" s="113">
        <v>9.2200000000000006</v>
      </c>
      <c r="O18" s="72">
        <f t="shared" si="0"/>
        <v>26125.792000000001</v>
      </c>
      <c r="P18" s="72">
        <f t="shared" si="5"/>
        <v>20911.968000000001</v>
      </c>
      <c r="Q18" s="71">
        <f t="shared" si="6"/>
        <v>73163.551999999996</v>
      </c>
      <c r="R18" s="72">
        <v>47037.760000000002</v>
      </c>
      <c r="S18" s="71">
        <f t="shared" si="7"/>
        <v>2253634.79</v>
      </c>
      <c r="T18" s="72">
        <v>2054754.78</v>
      </c>
      <c r="U18" s="78">
        <f>198880.01</f>
        <v>198880.01</v>
      </c>
      <c r="V18" s="79"/>
      <c r="W18" s="76">
        <f t="shared" si="8"/>
        <v>-225117.22199999867</v>
      </c>
      <c r="X18" s="114">
        <f t="shared" si="9"/>
        <v>2253634.79</v>
      </c>
      <c r="Y18" s="50">
        <f t="shared" si="1"/>
        <v>165878.94399999999</v>
      </c>
      <c r="Z18" s="10">
        <f t="shared" si="2"/>
        <v>20911.968000000001</v>
      </c>
      <c r="AA18" s="53">
        <f t="shared" si="3"/>
        <v>146383.77600000001</v>
      </c>
    </row>
    <row r="19" spans="1:27" s="10" customFormat="1" ht="30" customHeight="1">
      <c r="A19" s="111">
        <v>17</v>
      </c>
      <c r="B19" s="68" t="s">
        <v>9</v>
      </c>
      <c r="C19" s="68" t="s">
        <v>27</v>
      </c>
      <c r="D19" s="69" t="s">
        <v>267</v>
      </c>
      <c r="E19" s="69">
        <v>7.38</v>
      </c>
      <c r="F19" s="69"/>
      <c r="G19" s="115">
        <v>6010.8</v>
      </c>
      <c r="H19" s="70">
        <v>41997</v>
      </c>
      <c r="I19" s="70">
        <v>41974</v>
      </c>
      <c r="J19" s="91" t="s">
        <v>140</v>
      </c>
      <c r="K19" s="91" t="s">
        <v>123</v>
      </c>
      <c r="L19" s="71">
        <f t="shared" si="4"/>
        <v>4305896.6880000001</v>
      </c>
      <c r="M19" s="72">
        <v>4250477.1119999997</v>
      </c>
      <c r="N19" s="113">
        <v>9.2200000000000006</v>
      </c>
      <c r="O19" s="72">
        <f t="shared" si="0"/>
        <v>55419.576000000008</v>
      </c>
      <c r="P19" s="72">
        <f t="shared" si="5"/>
        <v>44359.703999999998</v>
      </c>
      <c r="Q19" s="71">
        <f t="shared" si="6"/>
        <v>155198.856</v>
      </c>
      <c r="R19" s="72">
        <v>99779.28</v>
      </c>
      <c r="S19" s="71">
        <f t="shared" si="7"/>
        <v>4823864.0599999996</v>
      </c>
      <c r="T19" s="72">
        <v>4432505.3499999996</v>
      </c>
      <c r="U19" s="78">
        <f>391358.71</f>
        <v>391358.71</v>
      </c>
      <c r="V19" s="76"/>
      <c r="W19" s="76">
        <f t="shared" si="8"/>
        <v>-517967.37199999951</v>
      </c>
      <c r="X19" s="114">
        <f t="shared" si="9"/>
        <v>4823864.0599999996</v>
      </c>
      <c r="Y19" s="50">
        <f t="shared" si="1"/>
        <v>351872.23200000002</v>
      </c>
      <c r="Z19" s="10">
        <f t="shared" si="2"/>
        <v>44359.703999999998</v>
      </c>
      <c r="AA19" s="53">
        <f t="shared" si="3"/>
        <v>310517.92799999996</v>
      </c>
    </row>
    <row r="20" spans="1:27" s="10" customFormat="1" ht="30" customHeight="1">
      <c r="A20" s="111">
        <v>18</v>
      </c>
      <c r="B20" s="68" t="s">
        <v>10</v>
      </c>
      <c r="C20" s="68" t="s">
        <v>28</v>
      </c>
      <c r="D20" s="69" t="s">
        <v>268</v>
      </c>
      <c r="E20" s="69">
        <v>7.38</v>
      </c>
      <c r="F20" s="69"/>
      <c r="G20" s="124">
        <v>4371.8</v>
      </c>
      <c r="H20" s="70">
        <v>43004</v>
      </c>
      <c r="I20" s="70">
        <v>41974</v>
      </c>
      <c r="J20" s="91" t="s">
        <v>141</v>
      </c>
      <c r="K20" s="91" t="s">
        <v>125</v>
      </c>
      <c r="L20" s="71">
        <f t="shared" si="4"/>
        <v>3099431.3320000018</v>
      </c>
      <c r="M20" s="72">
        <v>3059123.336000002</v>
      </c>
      <c r="N20" s="113">
        <v>9.2200000000000006</v>
      </c>
      <c r="O20" s="72">
        <f t="shared" si="0"/>
        <v>40307.996000000006</v>
      </c>
      <c r="P20" s="72">
        <f t="shared" si="5"/>
        <v>32263.884000000002</v>
      </c>
      <c r="Q20" s="71">
        <f t="shared" si="6"/>
        <v>112879.87600000002</v>
      </c>
      <c r="R20" s="72">
        <v>72571.88</v>
      </c>
      <c r="S20" s="71">
        <f t="shared" si="7"/>
        <v>2632017.04</v>
      </c>
      <c r="T20" s="72">
        <v>2470394.39</v>
      </c>
      <c r="U20" s="77">
        <f>161622.65</f>
        <v>161622.65</v>
      </c>
      <c r="V20" s="76">
        <v>1239500</v>
      </c>
      <c r="W20" s="76">
        <f t="shared" si="8"/>
        <v>467414.29200000176</v>
      </c>
      <c r="X20" s="114">
        <f t="shared" si="9"/>
        <v>1392517.04</v>
      </c>
      <c r="Y20" s="50">
        <f t="shared" si="1"/>
        <v>255925.17200000002</v>
      </c>
      <c r="Z20" s="10">
        <f t="shared" si="2"/>
        <v>32263.884000000002</v>
      </c>
      <c r="AA20" s="53">
        <f t="shared" si="3"/>
        <v>225847.18800000002</v>
      </c>
    </row>
    <row r="21" spans="1:27" s="10" customFormat="1" ht="30" customHeight="1">
      <c r="A21" s="111">
        <v>19</v>
      </c>
      <c r="B21" s="68" t="s">
        <v>259</v>
      </c>
      <c r="C21" s="68" t="s">
        <v>260</v>
      </c>
      <c r="D21" s="69"/>
      <c r="E21" s="69">
        <v>7.38</v>
      </c>
      <c r="F21" s="69"/>
      <c r="G21" s="115">
        <v>845.3</v>
      </c>
      <c r="H21" s="70">
        <v>43971</v>
      </c>
      <c r="I21" s="70">
        <v>41974</v>
      </c>
      <c r="J21" s="74" t="s">
        <v>300</v>
      </c>
      <c r="K21" s="91" t="s">
        <v>123</v>
      </c>
      <c r="L21" s="71">
        <f t="shared" si="4"/>
        <v>532889.65</v>
      </c>
      <c r="M21" s="72">
        <v>525095.98400000005</v>
      </c>
      <c r="N21" s="113">
        <v>9.2200000000000006</v>
      </c>
      <c r="O21" s="72">
        <f t="shared" si="0"/>
        <v>7793.6660000000002</v>
      </c>
      <c r="P21" s="72">
        <f t="shared" si="5"/>
        <v>6238.3139999999994</v>
      </c>
      <c r="Q21" s="71">
        <f t="shared" si="6"/>
        <v>21825.646000000001</v>
      </c>
      <c r="R21" s="72">
        <v>14031.98</v>
      </c>
      <c r="S21" s="71">
        <f t="shared" si="7"/>
        <v>587253.15</v>
      </c>
      <c r="T21" s="72">
        <v>534455.12</v>
      </c>
      <c r="U21" s="78">
        <f>52798.03</f>
        <v>52798.03</v>
      </c>
      <c r="V21" s="76"/>
      <c r="W21" s="76">
        <f>L21-S21</f>
        <v>-54363.5</v>
      </c>
      <c r="X21" s="114">
        <f t="shared" si="9"/>
        <v>587253.15</v>
      </c>
      <c r="Y21" s="50">
        <f t="shared" si="1"/>
        <v>49483.862000000001</v>
      </c>
      <c r="Z21" s="10">
        <f t="shared" si="2"/>
        <v>6238.3139999999994</v>
      </c>
      <c r="AA21" s="53">
        <f t="shared" si="3"/>
        <v>43668.197999999997</v>
      </c>
    </row>
    <row r="22" spans="1:27" s="10" customFormat="1" ht="30" customHeight="1">
      <c r="A22" s="111">
        <v>20</v>
      </c>
      <c r="B22" s="68" t="s">
        <v>261</v>
      </c>
      <c r="C22" s="68" t="s">
        <v>265</v>
      </c>
      <c r="D22" s="69"/>
      <c r="E22" s="69">
        <v>7.38</v>
      </c>
      <c r="F22" s="69"/>
      <c r="G22" s="125">
        <v>1455.8</v>
      </c>
      <c r="H22" s="70">
        <v>44034</v>
      </c>
      <c r="I22" s="70">
        <v>41974</v>
      </c>
      <c r="J22" s="74" t="s">
        <v>264</v>
      </c>
      <c r="K22" s="91" t="s">
        <v>123</v>
      </c>
      <c r="L22" s="71">
        <f t="shared" si="4"/>
        <v>720314.67400000012</v>
      </c>
      <c r="M22" s="72">
        <v>706892.19800000009</v>
      </c>
      <c r="N22" s="113">
        <v>9.2200000000000006</v>
      </c>
      <c r="O22" s="72">
        <f t="shared" si="0"/>
        <v>13422.476000000001</v>
      </c>
      <c r="P22" s="72">
        <f t="shared" si="5"/>
        <v>10743.804</v>
      </c>
      <c r="Q22" s="71">
        <f t="shared" si="6"/>
        <v>37588.756000000001</v>
      </c>
      <c r="R22" s="72">
        <v>24166.28</v>
      </c>
      <c r="S22" s="71">
        <f t="shared" si="7"/>
        <v>579013.16999999993</v>
      </c>
      <c r="T22" s="72">
        <v>519522.42</v>
      </c>
      <c r="U22" s="78">
        <f>59490.75</f>
        <v>59490.75</v>
      </c>
      <c r="V22" s="76"/>
      <c r="W22" s="76">
        <f t="shared" si="8"/>
        <v>141301.50400000019</v>
      </c>
      <c r="X22" s="114">
        <f t="shared" si="9"/>
        <v>579013.16999999993</v>
      </c>
      <c r="Y22" s="50">
        <f t="shared" si="1"/>
        <v>85222.531999999992</v>
      </c>
      <c r="Z22" s="10">
        <f t="shared" si="2"/>
        <v>10743.804</v>
      </c>
      <c r="AA22" s="53">
        <f t="shared" si="3"/>
        <v>75206.627999999997</v>
      </c>
    </row>
    <row r="23" spans="1:27" s="10" customFormat="1" ht="30" customHeight="1">
      <c r="A23" s="111">
        <v>21</v>
      </c>
      <c r="B23" s="68" t="s">
        <v>261</v>
      </c>
      <c r="C23" s="68" t="s">
        <v>262</v>
      </c>
      <c r="D23" s="69"/>
      <c r="E23" s="69">
        <v>7.38</v>
      </c>
      <c r="F23" s="69"/>
      <c r="G23" s="126">
        <v>1429.4</v>
      </c>
      <c r="H23" s="70">
        <v>44034</v>
      </c>
      <c r="I23" s="70">
        <v>41974</v>
      </c>
      <c r="J23" s="74" t="s">
        <v>263</v>
      </c>
      <c r="K23" s="91" t="s">
        <v>123</v>
      </c>
      <c r="L23" s="71">
        <f t="shared" si="4"/>
        <v>699974.83999999962</v>
      </c>
      <c r="M23" s="72">
        <v>686795.77199999965</v>
      </c>
      <c r="N23" s="113">
        <v>9.2200000000000006</v>
      </c>
      <c r="O23" s="72">
        <f t="shared" si="0"/>
        <v>13179.068000000001</v>
      </c>
      <c r="P23" s="72">
        <f t="shared" si="5"/>
        <v>10548.972</v>
      </c>
      <c r="Q23" s="71">
        <f t="shared" si="6"/>
        <v>36907.108</v>
      </c>
      <c r="R23" s="72">
        <v>23728.04</v>
      </c>
      <c r="S23" s="71">
        <f t="shared" si="7"/>
        <v>538200.1</v>
      </c>
      <c r="T23" s="72">
        <v>489165.01</v>
      </c>
      <c r="U23" s="78">
        <f>49035.09</f>
        <v>49035.09</v>
      </c>
      <c r="V23" s="76"/>
      <c r="W23" s="76">
        <f t="shared" si="8"/>
        <v>161774.73999999964</v>
      </c>
      <c r="X23" s="114">
        <f t="shared" si="9"/>
        <v>538200.1</v>
      </c>
      <c r="Y23" s="50">
        <f t="shared" si="1"/>
        <v>83677.076000000015</v>
      </c>
      <c r="Z23" s="10">
        <f t="shared" si="2"/>
        <v>10548.972</v>
      </c>
      <c r="AA23" s="53">
        <f t="shared" si="3"/>
        <v>73842.804000000004</v>
      </c>
    </row>
    <row r="24" spans="1:27" s="10" customFormat="1" ht="30" customHeight="1">
      <c r="A24" s="111">
        <v>22</v>
      </c>
      <c r="B24" s="68" t="s">
        <v>11</v>
      </c>
      <c r="C24" s="68" t="s">
        <v>29</v>
      </c>
      <c r="D24" s="69" t="s">
        <v>266</v>
      </c>
      <c r="E24" s="69">
        <v>8</v>
      </c>
      <c r="F24" s="69"/>
      <c r="G24" s="115">
        <v>7696.62</v>
      </c>
      <c r="H24" s="70">
        <v>41920</v>
      </c>
      <c r="I24" s="70">
        <v>41974</v>
      </c>
      <c r="J24" s="91" t="s">
        <v>142</v>
      </c>
      <c r="K24" s="91" t="s">
        <v>125</v>
      </c>
      <c r="L24" s="71">
        <f t="shared" si="4"/>
        <v>5641933.8200000003</v>
      </c>
      <c r="M24" s="72">
        <v>5564967.6200000001</v>
      </c>
      <c r="N24" s="72">
        <v>10</v>
      </c>
      <c r="O24" s="72">
        <f t="shared" si="0"/>
        <v>76966.2</v>
      </c>
      <c r="P24" s="72">
        <f t="shared" si="5"/>
        <v>61572.959999999999</v>
      </c>
      <c r="Q24" s="71">
        <f t="shared" si="6"/>
        <v>215505.36</v>
      </c>
      <c r="R24" s="72">
        <v>138539.16</v>
      </c>
      <c r="S24" s="71">
        <f t="shared" si="7"/>
        <v>5512665.7799999993</v>
      </c>
      <c r="T24" s="72">
        <v>5213452.6099999994</v>
      </c>
      <c r="U24" s="78">
        <f>299213.17</f>
        <v>299213.17</v>
      </c>
      <c r="V24" s="76">
        <v>4535526.91</v>
      </c>
      <c r="W24" s="76">
        <f t="shared" si="8"/>
        <v>129268.04000000097</v>
      </c>
      <c r="X24" s="114">
        <f t="shared" si="9"/>
        <v>977138.86999999918</v>
      </c>
      <c r="Y24" s="50">
        <f t="shared" si="1"/>
        <v>450560.1348</v>
      </c>
      <c r="Z24" s="10">
        <f t="shared" si="2"/>
        <v>61572.959999999999</v>
      </c>
      <c r="AA24" s="53">
        <f t="shared" si="3"/>
        <v>431010.72</v>
      </c>
    </row>
    <row r="25" spans="1:27" s="10" customFormat="1" ht="30" customHeight="1">
      <c r="A25" s="111">
        <v>23</v>
      </c>
      <c r="B25" s="68" t="s">
        <v>11</v>
      </c>
      <c r="C25" s="68" t="s">
        <v>30</v>
      </c>
      <c r="D25" s="69" t="s">
        <v>266</v>
      </c>
      <c r="E25" s="69">
        <v>8</v>
      </c>
      <c r="F25" s="69"/>
      <c r="G25" s="116">
        <v>9795.49</v>
      </c>
      <c r="H25" s="70">
        <v>41915</v>
      </c>
      <c r="I25" s="70">
        <v>41974</v>
      </c>
      <c r="J25" s="91" t="s">
        <v>143</v>
      </c>
      <c r="K25" s="91" t="s">
        <v>125</v>
      </c>
      <c r="L25" s="71">
        <f t="shared" si="4"/>
        <v>7180065.9400000004</v>
      </c>
      <c r="M25" s="72">
        <v>7082111.04</v>
      </c>
      <c r="N25" s="72">
        <v>10</v>
      </c>
      <c r="O25" s="72">
        <f t="shared" si="0"/>
        <v>97954.9</v>
      </c>
      <c r="P25" s="72">
        <f t="shared" si="5"/>
        <v>78363.92</v>
      </c>
      <c r="Q25" s="71">
        <f t="shared" si="6"/>
        <v>274273.71999999997</v>
      </c>
      <c r="R25" s="72">
        <v>176318.82</v>
      </c>
      <c r="S25" s="71">
        <f t="shared" si="7"/>
        <v>6867131.209999999</v>
      </c>
      <c r="T25" s="72">
        <v>6427933.2899999991</v>
      </c>
      <c r="U25" s="77">
        <f>439197.92</f>
        <v>439197.92</v>
      </c>
      <c r="V25" s="77">
        <v>2348986.7400000002</v>
      </c>
      <c r="W25" s="76">
        <f t="shared" si="8"/>
        <v>312934.73000000138</v>
      </c>
      <c r="X25" s="114">
        <f t="shared" si="9"/>
        <v>4518144.4699999988</v>
      </c>
      <c r="Y25" s="50">
        <f t="shared" si="1"/>
        <v>573427.98460000008</v>
      </c>
      <c r="Z25" s="10">
        <f t="shared" si="2"/>
        <v>78363.92</v>
      </c>
      <c r="AA25" s="53">
        <f t="shared" si="3"/>
        <v>548547.43999999994</v>
      </c>
    </row>
    <row r="26" spans="1:27" s="10" customFormat="1" ht="30" customHeight="1">
      <c r="A26" s="111">
        <v>24</v>
      </c>
      <c r="B26" s="68" t="s">
        <v>11</v>
      </c>
      <c r="C26" s="68" t="s">
        <v>231</v>
      </c>
      <c r="D26" s="69" t="s">
        <v>269</v>
      </c>
      <c r="E26" s="69">
        <v>8</v>
      </c>
      <c r="F26" s="69"/>
      <c r="G26" s="115">
        <v>10666.8</v>
      </c>
      <c r="H26" s="70">
        <v>43416</v>
      </c>
      <c r="I26" s="70">
        <v>41974</v>
      </c>
      <c r="J26" s="91" t="s">
        <v>233</v>
      </c>
      <c r="K26" s="91" t="s">
        <v>125</v>
      </c>
      <c r="L26" s="71">
        <f t="shared" si="4"/>
        <v>7821661.9319999991</v>
      </c>
      <c r="M26" s="72">
        <v>7714993.9319999991</v>
      </c>
      <c r="N26" s="72">
        <v>10</v>
      </c>
      <c r="O26" s="72">
        <f t="shared" si="0"/>
        <v>106668</v>
      </c>
      <c r="P26" s="72">
        <f t="shared" si="5"/>
        <v>85334.399999999994</v>
      </c>
      <c r="Q26" s="71">
        <f t="shared" si="6"/>
        <v>298670.40000000002</v>
      </c>
      <c r="R26" s="72">
        <v>192002.4</v>
      </c>
      <c r="S26" s="71">
        <f t="shared" si="7"/>
        <v>7966422.0500000007</v>
      </c>
      <c r="T26" s="72">
        <v>7293688.790000001</v>
      </c>
      <c r="U26" s="77">
        <f>672733.26</f>
        <v>672733.26</v>
      </c>
      <c r="V26" s="76"/>
      <c r="W26" s="76">
        <f t="shared" si="8"/>
        <v>-144760.11800000165</v>
      </c>
      <c r="X26" s="114">
        <f t="shared" si="9"/>
        <v>7966422.0500000007</v>
      </c>
      <c r="Y26" s="50">
        <f t="shared" si="1"/>
        <v>624434.47199999995</v>
      </c>
      <c r="Z26" s="10">
        <f t="shared" si="2"/>
        <v>85334.399999999994</v>
      </c>
      <c r="AA26" s="53">
        <f t="shared" si="3"/>
        <v>597340.79999999993</v>
      </c>
    </row>
    <row r="27" spans="1:27" s="10" customFormat="1" ht="30" customHeight="1">
      <c r="A27" s="111">
        <v>25</v>
      </c>
      <c r="B27" s="68" t="s">
        <v>11</v>
      </c>
      <c r="C27" s="68" t="s">
        <v>31</v>
      </c>
      <c r="D27" s="69" t="s">
        <v>266</v>
      </c>
      <c r="E27" s="69">
        <v>8</v>
      </c>
      <c r="F27" s="69"/>
      <c r="G27" s="115">
        <v>8099.3</v>
      </c>
      <c r="H27" s="70">
        <v>41906</v>
      </c>
      <c r="I27" s="70">
        <v>41974</v>
      </c>
      <c r="J27" s="91" t="s">
        <v>144</v>
      </c>
      <c r="K27" s="91" t="s">
        <v>123</v>
      </c>
      <c r="L27" s="71">
        <f t="shared" si="4"/>
        <v>5886515.4600000009</v>
      </c>
      <c r="M27" s="72">
        <v>5805522.4600000009</v>
      </c>
      <c r="N27" s="72">
        <v>10</v>
      </c>
      <c r="O27" s="72">
        <f t="shared" si="0"/>
        <v>80993</v>
      </c>
      <c r="P27" s="72">
        <f t="shared" si="5"/>
        <v>64794.400000000001</v>
      </c>
      <c r="Q27" s="71">
        <f t="shared" si="6"/>
        <v>226780.4</v>
      </c>
      <c r="R27" s="72">
        <v>145787.4</v>
      </c>
      <c r="S27" s="71">
        <f t="shared" si="7"/>
        <v>5362621.5699999994</v>
      </c>
      <c r="T27" s="72">
        <v>5019139.4399999995</v>
      </c>
      <c r="U27" s="78">
        <f>343482.13</f>
        <v>343482.13</v>
      </c>
      <c r="V27" s="76">
        <v>2151404.75</v>
      </c>
      <c r="W27" s="76">
        <f t="shared" si="8"/>
        <v>523893.89000000153</v>
      </c>
      <c r="X27" s="114">
        <f t="shared" si="9"/>
        <v>3211216.8199999994</v>
      </c>
      <c r="Y27" s="50">
        <f t="shared" si="1"/>
        <v>474133.022</v>
      </c>
      <c r="Z27" s="10">
        <f t="shared" si="2"/>
        <v>64794.400000000001</v>
      </c>
      <c r="AA27" s="53">
        <f t="shared" si="3"/>
        <v>453560.8</v>
      </c>
    </row>
    <row r="28" spans="1:27" s="10" customFormat="1" ht="30" customHeight="1">
      <c r="A28" s="111">
        <v>26</v>
      </c>
      <c r="B28" s="68" t="s">
        <v>11</v>
      </c>
      <c r="C28" s="68" t="s">
        <v>32</v>
      </c>
      <c r="D28" s="69" t="s">
        <v>266</v>
      </c>
      <c r="E28" s="69">
        <v>8</v>
      </c>
      <c r="F28" s="69"/>
      <c r="G28" s="115">
        <v>8206</v>
      </c>
      <c r="H28" s="70">
        <v>41906</v>
      </c>
      <c r="I28" s="70">
        <v>41974</v>
      </c>
      <c r="J28" s="91" t="s">
        <v>145</v>
      </c>
      <c r="K28" s="91" t="s">
        <v>125</v>
      </c>
      <c r="L28" s="71">
        <f t="shared" si="4"/>
        <v>6016646.6399999997</v>
      </c>
      <c r="M28" s="72">
        <v>5934586.6399999997</v>
      </c>
      <c r="N28" s="72">
        <v>10</v>
      </c>
      <c r="O28" s="72">
        <f t="shared" si="0"/>
        <v>82060</v>
      </c>
      <c r="P28" s="72">
        <f t="shared" si="5"/>
        <v>65648</v>
      </c>
      <c r="Q28" s="71">
        <f t="shared" si="6"/>
        <v>229768</v>
      </c>
      <c r="R28" s="72">
        <v>147708</v>
      </c>
      <c r="S28" s="71">
        <f t="shared" si="7"/>
        <v>5468641.6199999992</v>
      </c>
      <c r="T28" s="72">
        <v>5110568.669999999</v>
      </c>
      <c r="U28" s="76">
        <v>358072.95</v>
      </c>
      <c r="V28" s="76">
        <v>2404877</v>
      </c>
      <c r="W28" s="76">
        <f t="shared" si="8"/>
        <v>548005.02000000048</v>
      </c>
      <c r="X28" s="114">
        <f t="shared" si="9"/>
        <v>3063764.6199999992</v>
      </c>
      <c r="Y28" s="50">
        <f t="shared" si="1"/>
        <v>480379.24</v>
      </c>
      <c r="Z28" s="10">
        <f t="shared" si="2"/>
        <v>65648</v>
      </c>
      <c r="AA28" s="53">
        <f t="shared" si="3"/>
        <v>459536</v>
      </c>
    </row>
    <row r="29" spans="1:27" s="10" customFormat="1" ht="30" customHeight="1">
      <c r="A29" s="111">
        <v>27</v>
      </c>
      <c r="B29" s="68" t="s">
        <v>11</v>
      </c>
      <c r="C29" s="68" t="s">
        <v>33</v>
      </c>
      <c r="D29" s="69" t="s">
        <v>266</v>
      </c>
      <c r="E29" s="69">
        <v>8</v>
      </c>
      <c r="F29" s="69"/>
      <c r="G29" s="115">
        <v>15568.9</v>
      </c>
      <c r="H29" s="70">
        <v>41901</v>
      </c>
      <c r="I29" s="70">
        <v>41974</v>
      </c>
      <c r="J29" s="91" t="s">
        <v>146</v>
      </c>
      <c r="K29" s="91" t="s">
        <v>125</v>
      </c>
      <c r="L29" s="71">
        <f t="shared" si="4"/>
        <v>11388179.669999998</v>
      </c>
      <c r="M29" s="72">
        <v>11232490.669999998</v>
      </c>
      <c r="N29" s="72">
        <v>10</v>
      </c>
      <c r="O29" s="72">
        <f t="shared" si="0"/>
        <v>155689</v>
      </c>
      <c r="P29" s="72">
        <f t="shared" si="5"/>
        <v>124551.2</v>
      </c>
      <c r="Q29" s="71">
        <f t="shared" si="6"/>
        <v>435929.2</v>
      </c>
      <c r="R29" s="72">
        <v>280240.2</v>
      </c>
      <c r="S29" s="71">
        <f t="shared" si="7"/>
        <v>10407032.32</v>
      </c>
      <c r="T29" s="72">
        <v>9840082.5199999996</v>
      </c>
      <c r="U29" s="78">
        <v>566949.80000000005</v>
      </c>
      <c r="V29" s="76">
        <v>6511598</v>
      </c>
      <c r="W29" s="76">
        <f t="shared" si="8"/>
        <v>981147.34999999776</v>
      </c>
      <c r="X29" s="114">
        <f t="shared" si="9"/>
        <v>3895434.3200000003</v>
      </c>
      <c r="Y29" s="50">
        <f t="shared" si="1"/>
        <v>911403.40599999996</v>
      </c>
      <c r="Z29" s="10">
        <f t="shared" si="2"/>
        <v>124551.2</v>
      </c>
      <c r="AA29" s="53">
        <f t="shared" si="3"/>
        <v>871858.4</v>
      </c>
    </row>
    <row r="30" spans="1:27" s="10" customFormat="1" ht="30" customHeight="1">
      <c r="A30" s="111">
        <v>28</v>
      </c>
      <c r="B30" s="68" t="s">
        <v>11</v>
      </c>
      <c r="C30" s="68" t="s">
        <v>34</v>
      </c>
      <c r="D30" s="69" t="s">
        <v>266</v>
      </c>
      <c r="E30" s="69">
        <v>8</v>
      </c>
      <c r="F30" s="69"/>
      <c r="G30" s="115">
        <v>4599.8</v>
      </c>
      <c r="H30" s="70">
        <v>41932</v>
      </c>
      <c r="I30" s="70">
        <v>41974</v>
      </c>
      <c r="J30" s="91" t="s">
        <v>147</v>
      </c>
      <c r="K30" s="91" t="s">
        <v>123</v>
      </c>
      <c r="L30" s="71">
        <f t="shared" si="4"/>
        <v>3368840.0599999996</v>
      </c>
      <c r="M30" s="72">
        <v>3322842.0599999996</v>
      </c>
      <c r="N30" s="72">
        <v>10</v>
      </c>
      <c r="O30" s="72">
        <f t="shared" si="0"/>
        <v>45998</v>
      </c>
      <c r="P30" s="72">
        <f t="shared" si="5"/>
        <v>36798.400000000001</v>
      </c>
      <c r="Q30" s="71">
        <f t="shared" si="6"/>
        <v>128794.4</v>
      </c>
      <c r="R30" s="72">
        <v>82796.399999999994</v>
      </c>
      <c r="S30" s="71">
        <f t="shared" si="7"/>
        <v>3338947.02</v>
      </c>
      <c r="T30" s="72">
        <v>3183933.2</v>
      </c>
      <c r="U30" s="78">
        <f>155013.82</f>
        <v>155013.82</v>
      </c>
      <c r="V30" s="76">
        <v>2810280</v>
      </c>
      <c r="W30" s="76">
        <f t="shared" si="8"/>
        <v>29893.039999999572</v>
      </c>
      <c r="X30" s="114">
        <f t="shared" si="9"/>
        <v>528667.02</v>
      </c>
      <c r="Y30" s="50">
        <f t="shared" si="1"/>
        <v>269272.29200000002</v>
      </c>
      <c r="Z30" s="10">
        <f t="shared" si="2"/>
        <v>36798.400000000001</v>
      </c>
      <c r="AA30" s="53">
        <f t="shared" si="3"/>
        <v>257588.80000000002</v>
      </c>
    </row>
    <row r="31" spans="1:27" s="10" customFormat="1" ht="30" customHeight="1">
      <c r="A31" s="111">
        <v>29</v>
      </c>
      <c r="B31" s="68" t="s">
        <v>11</v>
      </c>
      <c r="C31" s="68" t="s">
        <v>35</v>
      </c>
      <c r="D31" s="69" t="s">
        <v>266</v>
      </c>
      <c r="E31" s="69">
        <v>8</v>
      </c>
      <c r="F31" s="69"/>
      <c r="G31" s="115">
        <v>6827.6</v>
      </c>
      <c r="H31" s="70">
        <v>41919</v>
      </c>
      <c r="I31" s="70">
        <v>41974</v>
      </c>
      <c r="J31" s="91" t="s">
        <v>148</v>
      </c>
      <c r="K31" s="91" t="s">
        <v>125</v>
      </c>
      <c r="L31" s="71">
        <f t="shared" si="4"/>
        <v>5004332.1099999994</v>
      </c>
      <c r="M31" s="72">
        <v>4936056.1099999994</v>
      </c>
      <c r="N31" s="72">
        <v>10</v>
      </c>
      <c r="O31" s="72">
        <f t="shared" si="0"/>
        <v>68276</v>
      </c>
      <c r="P31" s="72">
        <f t="shared" si="5"/>
        <v>54620.800000000003</v>
      </c>
      <c r="Q31" s="71">
        <f t="shared" si="6"/>
        <v>191172.8</v>
      </c>
      <c r="R31" s="72">
        <v>122896.8</v>
      </c>
      <c r="S31" s="71">
        <f t="shared" si="7"/>
        <v>4718078.5600000005</v>
      </c>
      <c r="T31" s="72">
        <v>4455039.03</v>
      </c>
      <c r="U31" s="78">
        <f>263039.53</f>
        <v>263039.53000000003</v>
      </c>
      <c r="V31" s="76">
        <v>1738500</v>
      </c>
      <c r="W31" s="76">
        <f t="shared" si="8"/>
        <v>286253.54999999888</v>
      </c>
      <c r="X31" s="114">
        <f t="shared" si="9"/>
        <v>2979578.5600000005</v>
      </c>
      <c r="Y31" s="50">
        <f t="shared" si="1"/>
        <v>399687.70400000003</v>
      </c>
      <c r="Z31" s="10">
        <f t="shared" si="2"/>
        <v>54620.800000000003</v>
      </c>
      <c r="AA31" s="53">
        <f t="shared" si="3"/>
        <v>382345.60000000003</v>
      </c>
    </row>
    <row r="32" spans="1:27" s="10" customFormat="1" ht="30" customHeight="1">
      <c r="A32" s="111">
        <v>30</v>
      </c>
      <c r="B32" s="68" t="s">
        <v>11</v>
      </c>
      <c r="C32" s="68" t="s">
        <v>36</v>
      </c>
      <c r="D32" s="69" t="s">
        <v>266</v>
      </c>
      <c r="E32" s="69">
        <v>8</v>
      </c>
      <c r="F32" s="69"/>
      <c r="G32" s="115">
        <v>12266.02</v>
      </c>
      <c r="H32" s="70">
        <v>41908</v>
      </c>
      <c r="I32" s="70">
        <v>41974</v>
      </c>
      <c r="J32" s="91" t="s">
        <v>149</v>
      </c>
      <c r="K32" s="91" t="s">
        <v>125</v>
      </c>
      <c r="L32" s="71">
        <f t="shared" si="4"/>
        <v>8975399.709999999</v>
      </c>
      <c r="M32" s="72">
        <v>8852739.5099999998</v>
      </c>
      <c r="N32" s="72">
        <v>10</v>
      </c>
      <c r="O32" s="72">
        <f t="shared" si="0"/>
        <v>122660.20000000001</v>
      </c>
      <c r="P32" s="72">
        <f t="shared" si="5"/>
        <v>98128.16</v>
      </c>
      <c r="Q32" s="71">
        <f t="shared" si="6"/>
        <v>343448.56000000006</v>
      </c>
      <c r="R32" s="72">
        <v>220788.36000000002</v>
      </c>
      <c r="S32" s="71">
        <f t="shared" si="7"/>
        <v>8841423.959999999</v>
      </c>
      <c r="T32" s="72">
        <v>8368335.4499999993</v>
      </c>
      <c r="U32" s="77">
        <f>473088.51</f>
        <v>473088.51</v>
      </c>
      <c r="V32" s="76">
        <v>5008000</v>
      </c>
      <c r="W32" s="76">
        <f t="shared" si="8"/>
        <v>133975.75</v>
      </c>
      <c r="X32" s="114">
        <f t="shared" si="9"/>
        <v>3833423.959999999</v>
      </c>
      <c r="Y32" s="50">
        <f t="shared" si="1"/>
        <v>718052.81079999998</v>
      </c>
      <c r="Z32" s="10">
        <f t="shared" si="2"/>
        <v>98128.16</v>
      </c>
      <c r="AA32" s="53">
        <f t="shared" si="3"/>
        <v>686897.12</v>
      </c>
    </row>
    <row r="33" spans="1:27" s="10" customFormat="1" ht="30" customHeight="1">
      <c r="A33" s="111">
        <v>31</v>
      </c>
      <c r="B33" s="68" t="s">
        <v>11</v>
      </c>
      <c r="C33" s="68" t="s">
        <v>37</v>
      </c>
      <c r="D33" s="69" t="s">
        <v>266</v>
      </c>
      <c r="E33" s="69">
        <v>7.38</v>
      </c>
      <c r="F33" s="69"/>
      <c r="G33" s="115">
        <v>2354.9</v>
      </c>
      <c r="H33" s="70">
        <v>41920</v>
      </c>
      <c r="I33" s="70">
        <v>41974</v>
      </c>
      <c r="J33" s="91" t="s">
        <v>150</v>
      </c>
      <c r="K33" s="91" t="s">
        <v>125</v>
      </c>
      <c r="L33" s="71">
        <f t="shared" si="4"/>
        <v>1686910.0300000003</v>
      </c>
      <c r="M33" s="72">
        <v>1665197.8520000002</v>
      </c>
      <c r="N33" s="72">
        <v>9.2200000000000006</v>
      </c>
      <c r="O33" s="72">
        <f t="shared" si="0"/>
        <v>21712.178000000004</v>
      </c>
      <c r="P33" s="72">
        <f t="shared" si="5"/>
        <v>17379.162</v>
      </c>
      <c r="Q33" s="71">
        <f t="shared" si="6"/>
        <v>60803.518000000011</v>
      </c>
      <c r="R33" s="72">
        <v>39091.340000000004</v>
      </c>
      <c r="S33" s="71">
        <f t="shared" si="7"/>
        <v>1615275.02</v>
      </c>
      <c r="T33" s="72">
        <v>1509840.87</v>
      </c>
      <c r="U33" s="78">
        <f>105434.15</f>
        <v>105434.15</v>
      </c>
      <c r="V33" s="76"/>
      <c r="W33" s="76">
        <f t="shared" si="8"/>
        <v>71635.010000000242</v>
      </c>
      <c r="X33" s="114">
        <f t="shared" si="9"/>
        <v>1615275.02</v>
      </c>
      <c r="Y33" s="50">
        <f t="shared" si="1"/>
        <v>137855.84600000002</v>
      </c>
      <c r="Z33" s="10">
        <f t="shared" si="2"/>
        <v>17379.162</v>
      </c>
      <c r="AA33" s="53">
        <f t="shared" si="3"/>
        <v>121654.13400000001</v>
      </c>
    </row>
    <row r="34" spans="1:27" s="10" customFormat="1" ht="30" customHeight="1">
      <c r="A34" s="111">
        <v>32</v>
      </c>
      <c r="B34" s="68" t="s">
        <v>11</v>
      </c>
      <c r="C34" s="68" t="s">
        <v>38</v>
      </c>
      <c r="D34" s="69" t="s">
        <v>266</v>
      </c>
      <c r="E34" s="69">
        <v>7.38</v>
      </c>
      <c r="F34" s="69"/>
      <c r="G34" s="115">
        <v>2408.5</v>
      </c>
      <c r="H34" s="70">
        <v>41894</v>
      </c>
      <c r="I34" s="70">
        <v>41974</v>
      </c>
      <c r="J34" s="91" t="s">
        <v>151</v>
      </c>
      <c r="K34" s="91" t="s">
        <v>125</v>
      </c>
      <c r="L34" s="71">
        <f t="shared" si="4"/>
        <v>1725304.9700000002</v>
      </c>
      <c r="M34" s="72">
        <v>1703098.6</v>
      </c>
      <c r="N34" s="72">
        <v>9.2200000000000006</v>
      </c>
      <c r="O34" s="72">
        <f t="shared" si="0"/>
        <v>22206.370000000003</v>
      </c>
      <c r="P34" s="72">
        <f t="shared" si="5"/>
        <v>17774.73</v>
      </c>
      <c r="Q34" s="71">
        <f t="shared" si="6"/>
        <v>62187.470000000008</v>
      </c>
      <c r="R34" s="72">
        <v>39981.100000000006</v>
      </c>
      <c r="S34" s="71">
        <f t="shared" si="7"/>
        <v>1657727.49</v>
      </c>
      <c r="T34" s="72">
        <v>1546204.47</v>
      </c>
      <c r="U34" s="77">
        <v>111523.02</v>
      </c>
      <c r="V34" s="76"/>
      <c r="W34" s="76">
        <f t="shared" si="8"/>
        <v>67577.480000000214</v>
      </c>
      <c r="X34" s="114">
        <f t="shared" si="9"/>
        <v>1657727.49</v>
      </c>
      <c r="Y34" s="50">
        <f t="shared" si="1"/>
        <v>140993.59</v>
      </c>
      <c r="Z34" s="10">
        <f t="shared" si="2"/>
        <v>17774.73</v>
      </c>
      <c r="AA34" s="53">
        <f t="shared" si="3"/>
        <v>124423.11</v>
      </c>
    </row>
    <row r="35" spans="1:27" s="10" customFormat="1" ht="30" customHeight="1">
      <c r="A35" s="111">
        <v>33</v>
      </c>
      <c r="B35" s="68" t="s">
        <v>11</v>
      </c>
      <c r="C35" s="68" t="s">
        <v>39</v>
      </c>
      <c r="D35" s="69" t="s">
        <v>266</v>
      </c>
      <c r="E35" s="69">
        <v>8</v>
      </c>
      <c r="F35" s="69"/>
      <c r="G35" s="116">
        <v>21652.33</v>
      </c>
      <c r="H35" s="70">
        <v>41918</v>
      </c>
      <c r="I35" s="70">
        <v>41974</v>
      </c>
      <c r="J35" s="91" t="s">
        <v>152</v>
      </c>
      <c r="K35" s="91" t="s">
        <v>125</v>
      </c>
      <c r="L35" s="71">
        <f t="shared" si="4"/>
        <v>15790692.880000003</v>
      </c>
      <c r="M35" s="72">
        <v>15574169.580000002</v>
      </c>
      <c r="N35" s="72">
        <v>10</v>
      </c>
      <c r="O35" s="72">
        <f t="shared" si="0"/>
        <v>216523.30000000002</v>
      </c>
      <c r="P35" s="72">
        <f t="shared" si="5"/>
        <v>173218.64</v>
      </c>
      <c r="Q35" s="71">
        <f t="shared" si="6"/>
        <v>606265.24000000011</v>
      </c>
      <c r="R35" s="72">
        <v>389741.94000000006</v>
      </c>
      <c r="S35" s="71">
        <f t="shared" si="7"/>
        <v>15840919.129999999</v>
      </c>
      <c r="T35" s="72">
        <v>14784024.259999998</v>
      </c>
      <c r="U35" s="77">
        <f>1056894.87</f>
        <v>1056894.8700000001</v>
      </c>
      <c r="V35" s="76">
        <v>4667640.9000000004</v>
      </c>
      <c r="W35" s="76">
        <f t="shared" si="8"/>
        <v>-50226.249999996275</v>
      </c>
      <c r="X35" s="114">
        <f t="shared" si="9"/>
        <v>11173278.229999999</v>
      </c>
      <c r="Y35" s="50">
        <f t="shared" si="1"/>
        <v>1267527.3982000002</v>
      </c>
      <c r="Z35" s="10">
        <f t="shared" si="2"/>
        <v>173218.64</v>
      </c>
      <c r="AA35" s="53">
        <f t="shared" si="3"/>
        <v>1212530.48</v>
      </c>
    </row>
    <row r="36" spans="1:27" s="10" customFormat="1" ht="30" customHeight="1">
      <c r="A36" s="111">
        <v>34</v>
      </c>
      <c r="B36" s="68" t="s">
        <v>11</v>
      </c>
      <c r="C36" s="68" t="s">
        <v>40</v>
      </c>
      <c r="D36" s="69" t="s">
        <v>266</v>
      </c>
      <c r="E36" s="69">
        <v>8</v>
      </c>
      <c r="F36" s="69"/>
      <c r="G36" s="115">
        <v>2291.1999999999998</v>
      </c>
      <c r="H36" s="70">
        <v>41918</v>
      </c>
      <c r="I36" s="70">
        <v>41974</v>
      </c>
      <c r="J36" s="91" t="s">
        <v>154</v>
      </c>
      <c r="K36" s="91" t="s">
        <v>125</v>
      </c>
      <c r="L36" s="71">
        <f t="shared" si="4"/>
        <v>1680695.4700000002</v>
      </c>
      <c r="M36" s="72">
        <v>1657783.4700000002</v>
      </c>
      <c r="N36" s="72">
        <v>10</v>
      </c>
      <c r="O36" s="72">
        <f t="shared" si="0"/>
        <v>22912</v>
      </c>
      <c r="P36" s="72">
        <f t="shared" si="5"/>
        <v>18329.599999999999</v>
      </c>
      <c r="Q36" s="71">
        <f t="shared" si="6"/>
        <v>64153.599999999999</v>
      </c>
      <c r="R36" s="72">
        <v>41241.599999999999</v>
      </c>
      <c r="S36" s="71">
        <f t="shared" si="7"/>
        <v>1542075.32</v>
      </c>
      <c r="T36" s="72">
        <v>1427726.08</v>
      </c>
      <c r="U36" s="77">
        <f>114349.24</f>
        <v>114349.24</v>
      </c>
      <c r="V36" s="76"/>
      <c r="W36" s="76">
        <f t="shared" si="8"/>
        <v>138620.15000000014</v>
      </c>
      <c r="X36" s="114">
        <f t="shared" si="9"/>
        <v>1542075.32</v>
      </c>
      <c r="Y36" s="50">
        <f t="shared" si="1"/>
        <v>134126.848</v>
      </c>
      <c r="Z36" s="10">
        <f t="shared" si="2"/>
        <v>18329.599999999999</v>
      </c>
      <c r="AA36" s="53">
        <f t="shared" si="3"/>
        <v>128307.19999999998</v>
      </c>
    </row>
    <row r="37" spans="1:27" s="10" customFormat="1" ht="30" customHeight="1">
      <c r="A37" s="111">
        <v>35</v>
      </c>
      <c r="B37" s="68" t="s">
        <v>11</v>
      </c>
      <c r="C37" s="68" t="s">
        <v>41</v>
      </c>
      <c r="D37" s="69" t="s">
        <v>271</v>
      </c>
      <c r="E37" s="69">
        <v>8</v>
      </c>
      <c r="F37" s="69"/>
      <c r="G37" s="115">
        <v>5946.1</v>
      </c>
      <c r="H37" s="70">
        <v>41913</v>
      </c>
      <c r="I37" s="70">
        <v>41974</v>
      </c>
      <c r="J37" s="74" t="s">
        <v>318</v>
      </c>
      <c r="K37" s="91" t="s">
        <v>138</v>
      </c>
      <c r="L37" s="71">
        <f t="shared" si="4"/>
        <v>4272629.6009999998</v>
      </c>
      <c r="M37" s="72">
        <v>4213168.6009999998</v>
      </c>
      <c r="N37" s="72">
        <v>10</v>
      </c>
      <c r="O37" s="72">
        <f t="shared" si="0"/>
        <v>59461</v>
      </c>
      <c r="P37" s="72">
        <f t="shared" si="5"/>
        <v>47568.800000000003</v>
      </c>
      <c r="Q37" s="71">
        <f t="shared" si="6"/>
        <v>166490.79999999999</v>
      </c>
      <c r="R37" s="72">
        <v>107029.8</v>
      </c>
      <c r="S37" s="71">
        <f t="shared" si="7"/>
        <v>4814572.03</v>
      </c>
      <c r="T37" s="72">
        <v>4413856.67</v>
      </c>
      <c r="U37" s="78">
        <v>400715.36</v>
      </c>
      <c r="V37" s="76"/>
      <c r="W37" s="76">
        <f t="shared" si="8"/>
        <v>-541942.42900000047</v>
      </c>
      <c r="X37" s="114">
        <f t="shared" si="9"/>
        <v>4814572.03</v>
      </c>
      <c r="Y37" s="50">
        <f t="shared" si="1"/>
        <v>348084.69400000002</v>
      </c>
      <c r="Z37" s="10">
        <f t="shared" si="2"/>
        <v>47568.800000000003</v>
      </c>
      <c r="AA37" s="53">
        <f t="shared" si="3"/>
        <v>332981.60000000003</v>
      </c>
    </row>
    <row r="38" spans="1:27" s="10" customFormat="1" ht="30" customHeight="1">
      <c r="A38" s="111">
        <v>36</v>
      </c>
      <c r="B38" s="68" t="s">
        <v>11</v>
      </c>
      <c r="C38" s="68" t="s">
        <v>42</v>
      </c>
      <c r="D38" s="69" t="s">
        <v>272</v>
      </c>
      <c r="E38" s="69">
        <v>8</v>
      </c>
      <c r="F38" s="69"/>
      <c r="G38" s="91">
        <v>7133.7</v>
      </c>
      <c r="H38" s="70">
        <v>41936</v>
      </c>
      <c r="I38" s="70">
        <v>41974</v>
      </c>
      <c r="J38" s="91" t="s">
        <v>155</v>
      </c>
      <c r="K38" s="91" t="s">
        <v>125</v>
      </c>
      <c r="L38" s="71">
        <f t="shared" si="4"/>
        <v>5149481.0529999966</v>
      </c>
      <c r="M38" s="72">
        <v>5078144.0529999966</v>
      </c>
      <c r="N38" s="72">
        <v>10</v>
      </c>
      <c r="O38" s="72">
        <f t="shared" si="0"/>
        <v>71337</v>
      </c>
      <c r="P38" s="72">
        <f t="shared" si="5"/>
        <v>57069.599999999999</v>
      </c>
      <c r="Q38" s="71">
        <f t="shared" si="6"/>
        <v>199743.6</v>
      </c>
      <c r="R38" s="72">
        <v>128406.6</v>
      </c>
      <c r="S38" s="71">
        <f t="shared" si="7"/>
        <v>5077611.8999999994</v>
      </c>
      <c r="T38" s="72">
        <v>4690713.6899999995</v>
      </c>
      <c r="U38" s="77">
        <v>386898.21</v>
      </c>
      <c r="V38" s="76"/>
      <c r="W38" s="76">
        <f t="shared" si="8"/>
        <v>71869.152999997139</v>
      </c>
      <c r="X38" s="114">
        <f t="shared" si="9"/>
        <v>5077611.8999999994</v>
      </c>
      <c r="Y38" s="50">
        <f t="shared" si="1"/>
        <v>417606.79800000001</v>
      </c>
      <c r="Z38" s="10">
        <f t="shared" si="2"/>
        <v>57069.599999999999</v>
      </c>
      <c r="AA38" s="53">
        <f t="shared" si="3"/>
        <v>399487.2</v>
      </c>
    </row>
    <row r="39" spans="1:27" s="10" customFormat="1" ht="30" customHeight="1">
      <c r="A39" s="111">
        <v>37</v>
      </c>
      <c r="B39" s="68" t="s">
        <v>11</v>
      </c>
      <c r="C39" s="68" t="s">
        <v>342</v>
      </c>
      <c r="D39" s="69" t="s">
        <v>266</v>
      </c>
      <c r="E39" s="69">
        <v>8</v>
      </c>
      <c r="F39" s="69"/>
      <c r="G39" s="91">
        <v>8375.1</v>
      </c>
      <c r="H39" s="70">
        <v>44798</v>
      </c>
      <c r="I39" s="70">
        <v>41974</v>
      </c>
      <c r="J39" s="117" t="s">
        <v>343</v>
      </c>
      <c r="K39" s="91" t="s">
        <v>125</v>
      </c>
      <c r="L39" s="71">
        <f t="shared" si="4"/>
        <v>3462205.0499999989</v>
      </c>
      <c r="M39" s="72">
        <v>3378454.0499999989</v>
      </c>
      <c r="N39" s="72">
        <v>10</v>
      </c>
      <c r="O39" s="72">
        <f t="shared" si="0"/>
        <v>83751</v>
      </c>
      <c r="P39" s="72">
        <f t="shared" si="5"/>
        <v>67000.800000000003</v>
      </c>
      <c r="Q39" s="71">
        <f t="shared" si="6"/>
        <v>234502.8</v>
      </c>
      <c r="R39" s="72">
        <v>150751.79999999999</v>
      </c>
      <c r="S39" s="71">
        <f t="shared" si="7"/>
        <v>4314994.26</v>
      </c>
      <c r="T39" s="72">
        <v>3807923.74</v>
      </c>
      <c r="U39" s="77">
        <f>231531.36+275539.16</f>
        <v>507070.51999999996</v>
      </c>
      <c r="V39" s="79"/>
      <c r="W39" s="79">
        <f t="shared" si="8"/>
        <v>-852789.21000000089</v>
      </c>
      <c r="X39" s="127">
        <f t="shared" si="9"/>
        <v>4314994.26</v>
      </c>
      <c r="Y39" s="50"/>
      <c r="AA39" s="53"/>
    </row>
    <row r="40" spans="1:27" s="10" customFormat="1" ht="30" customHeight="1">
      <c r="A40" s="111">
        <v>38</v>
      </c>
      <c r="B40" s="68" t="s">
        <v>11</v>
      </c>
      <c r="C40" s="68" t="s">
        <v>48</v>
      </c>
      <c r="D40" s="69" t="s">
        <v>266</v>
      </c>
      <c r="E40" s="69">
        <v>8</v>
      </c>
      <c r="F40" s="69"/>
      <c r="G40" s="115">
        <v>12479.7</v>
      </c>
      <c r="H40" s="70">
        <v>41914</v>
      </c>
      <c r="I40" s="70">
        <v>41974</v>
      </c>
      <c r="J40" s="91" t="s">
        <v>161</v>
      </c>
      <c r="K40" s="91" t="s">
        <v>125</v>
      </c>
      <c r="L40" s="71">
        <f t="shared" si="4"/>
        <v>8972783.1600000001</v>
      </c>
      <c r="M40" s="72">
        <v>8847986.1600000001</v>
      </c>
      <c r="N40" s="72">
        <v>10</v>
      </c>
      <c r="O40" s="72">
        <f t="shared" si="0"/>
        <v>124797</v>
      </c>
      <c r="P40" s="72">
        <f t="shared" si="5"/>
        <v>99837.6</v>
      </c>
      <c r="Q40" s="71">
        <f t="shared" si="6"/>
        <v>349431.6</v>
      </c>
      <c r="R40" s="72">
        <v>224634.6</v>
      </c>
      <c r="S40" s="71">
        <f t="shared" si="7"/>
        <v>7564672.8399999999</v>
      </c>
      <c r="T40" s="72">
        <v>7079168.2199999997</v>
      </c>
      <c r="U40" s="77">
        <f>485504.62</f>
        <v>485504.62</v>
      </c>
      <c r="V40" s="76">
        <v>1278395.48</v>
      </c>
      <c r="W40" s="76">
        <f t="shared" si="8"/>
        <v>1408110.3200000003</v>
      </c>
      <c r="X40" s="114">
        <f t="shared" si="9"/>
        <v>6286277.3599999994</v>
      </c>
      <c r="Y40" s="50">
        <f t="shared" ref="Y40:Y68" si="10">(6.3*G40)+(6.53*G40*8)</f>
        <v>730561.63800000004</v>
      </c>
      <c r="Z40" s="10">
        <f t="shared" ref="Z40:Z53" si="11">E40*G40</f>
        <v>99837.6</v>
      </c>
      <c r="AA40" s="53">
        <f t="shared" ref="AA40:AA53" si="12">E40*G40*7</f>
        <v>698863.20000000007</v>
      </c>
    </row>
    <row r="41" spans="1:27" s="10" customFormat="1" ht="30" customHeight="1">
      <c r="A41" s="111">
        <v>39</v>
      </c>
      <c r="B41" s="68" t="s">
        <v>11</v>
      </c>
      <c r="C41" s="68" t="s">
        <v>49</v>
      </c>
      <c r="D41" s="69" t="s">
        <v>266</v>
      </c>
      <c r="E41" s="69">
        <v>8</v>
      </c>
      <c r="F41" s="69"/>
      <c r="G41" s="115">
        <v>12404.8</v>
      </c>
      <c r="H41" s="70">
        <v>41913</v>
      </c>
      <c r="I41" s="70">
        <v>41974</v>
      </c>
      <c r="J41" s="91" t="s">
        <v>162</v>
      </c>
      <c r="K41" s="91" t="s">
        <v>125</v>
      </c>
      <c r="L41" s="71">
        <f t="shared" si="4"/>
        <v>9071255.9300000016</v>
      </c>
      <c r="M41" s="72">
        <v>8947207.9300000016</v>
      </c>
      <c r="N41" s="72">
        <v>10</v>
      </c>
      <c r="O41" s="72">
        <f t="shared" si="0"/>
        <v>124048</v>
      </c>
      <c r="P41" s="72">
        <f t="shared" si="5"/>
        <v>99238.399999999994</v>
      </c>
      <c r="Q41" s="71">
        <f t="shared" si="6"/>
        <v>347334.40000000002</v>
      </c>
      <c r="R41" s="72">
        <v>223286.39999999999</v>
      </c>
      <c r="S41" s="71">
        <f t="shared" si="7"/>
        <v>7596187.0999999996</v>
      </c>
      <c r="T41" s="72">
        <v>7166664.1499999994</v>
      </c>
      <c r="U41" s="77">
        <f>429522.95</f>
        <v>429522.95</v>
      </c>
      <c r="V41" s="76">
        <v>1998815.38</v>
      </c>
      <c r="W41" s="76">
        <f t="shared" si="8"/>
        <v>1475068.8300000019</v>
      </c>
      <c r="X41" s="114">
        <f t="shared" si="9"/>
        <v>5597371.7199999997</v>
      </c>
      <c r="Y41" s="50">
        <f t="shared" si="10"/>
        <v>726176.99199999997</v>
      </c>
      <c r="Z41" s="10">
        <f t="shared" si="11"/>
        <v>99238.399999999994</v>
      </c>
      <c r="AA41" s="53">
        <f t="shared" si="12"/>
        <v>694668.79999999993</v>
      </c>
    </row>
    <row r="42" spans="1:27" s="10" customFormat="1" ht="30" customHeight="1">
      <c r="A42" s="111">
        <v>40</v>
      </c>
      <c r="B42" s="68" t="s">
        <v>11</v>
      </c>
      <c r="C42" s="68" t="s">
        <v>43</v>
      </c>
      <c r="D42" s="69" t="s">
        <v>266</v>
      </c>
      <c r="E42" s="69">
        <v>8</v>
      </c>
      <c r="F42" s="69"/>
      <c r="G42" s="115">
        <v>17285.68</v>
      </c>
      <c r="H42" s="70">
        <v>41914</v>
      </c>
      <c r="I42" s="70">
        <v>41974</v>
      </c>
      <c r="J42" s="91" t="s">
        <v>156</v>
      </c>
      <c r="K42" s="91" t="s">
        <v>125</v>
      </c>
      <c r="L42" s="71">
        <f t="shared" si="4"/>
        <v>12570607.23</v>
      </c>
      <c r="M42" s="72">
        <v>12397750.43</v>
      </c>
      <c r="N42" s="72">
        <v>10</v>
      </c>
      <c r="O42" s="72">
        <f t="shared" si="0"/>
        <v>172856.8</v>
      </c>
      <c r="P42" s="72">
        <f t="shared" si="5"/>
        <v>138285.44</v>
      </c>
      <c r="Q42" s="71">
        <f t="shared" si="6"/>
        <v>483999.04</v>
      </c>
      <c r="R42" s="72">
        <v>311142.24</v>
      </c>
      <c r="S42" s="71">
        <f t="shared" si="7"/>
        <v>11864394.709999999</v>
      </c>
      <c r="T42" s="72">
        <v>10890352.119999999</v>
      </c>
      <c r="U42" s="77">
        <f>974042.59</f>
        <v>974042.59</v>
      </c>
      <c r="V42" s="76">
        <v>5878864.8799999999</v>
      </c>
      <c r="W42" s="76">
        <f t="shared" si="8"/>
        <v>706212.52000000142</v>
      </c>
      <c r="X42" s="114">
        <f t="shared" si="9"/>
        <v>5985529.8299999991</v>
      </c>
      <c r="Y42" s="50">
        <f t="shared" si="10"/>
        <v>1011903.7072000001</v>
      </c>
      <c r="Z42" s="10">
        <f t="shared" si="11"/>
        <v>138285.44</v>
      </c>
      <c r="AA42" s="53">
        <f t="shared" si="12"/>
        <v>967998.08000000007</v>
      </c>
    </row>
    <row r="43" spans="1:27" s="10" customFormat="1" ht="30" customHeight="1">
      <c r="A43" s="111">
        <v>41</v>
      </c>
      <c r="B43" s="68" t="s">
        <v>11</v>
      </c>
      <c r="C43" s="68" t="s">
        <v>44</v>
      </c>
      <c r="D43" s="69" t="s">
        <v>266</v>
      </c>
      <c r="E43" s="69">
        <v>8</v>
      </c>
      <c r="F43" s="69"/>
      <c r="G43" s="116">
        <v>17287.88</v>
      </c>
      <c r="H43" s="70">
        <v>41914</v>
      </c>
      <c r="I43" s="70">
        <v>41974</v>
      </c>
      <c r="J43" s="91" t="s">
        <v>157</v>
      </c>
      <c r="K43" s="91" t="s">
        <v>125</v>
      </c>
      <c r="L43" s="71">
        <f t="shared" si="4"/>
        <v>12662285.32</v>
      </c>
      <c r="M43" s="72">
        <v>12489406.52</v>
      </c>
      <c r="N43" s="72">
        <v>10</v>
      </c>
      <c r="O43" s="72">
        <f t="shared" si="0"/>
        <v>172878.80000000002</v>
      </c>
      <c r="P43" s="72">
        <f t="shared" si="5"/>
        <v>138303.04000000001</v>
      </c>
      <c r="Q43" s="71">
        <f t="shared" si="6"/>
        <v>484060.64</v>
      </c>
      <c r="R43" s="72">
        <v>311181.84000000003</v>
      </c>
      <c r="S43" s="71">
        <f t="shared" si="7"/>
        <v>11111782.32</v>
      </c>
      <c r="T43" s="72">
        <v>10354815.76</v>
      </c>
      <c r="U43" s="77">
        <v>756966.56</v>
      </c>
      <c r="V43" s="76">
        <v>5952052.0700000003</v>
      </c>
      <c r="W43" s="76">
        <f t="shared" si="8"/>
        <v>1550503</v>
      </c>
      <c r="X43" s="114">
        <f t="shared" si="9"/>
        <v>5159730.25</v>
      </c>
      <c r="Y43" s="50">
        <f t="shared" si="10"/>
        <v>1012032.4952</v>
      </c>
      <c r="Z43" s="10">
        <f t="shared" si="11"/>
        <v>138303.04000000001</v>
      </c>
      <c r="AA43" s="53">
        <f t="shared" si="12"/>
        <v>968121.28</v>
      </c>
    </row>
    <row r="44" spans="1:27" s="10" customFormat="1" ht="30" customHeight="1">
      <c r="A44" s="111">
        <v>42</v>
      </c>
      <c r="B44" s="68" t="s">
        <v>11</v>
      </c>
      <c r="C44" s="68" t="s">
        <v>45</v>
      </c>
      <c r="D44" s="69" t="s">
        <v>266</v>
      </c>
      <c r="E44" s="69">
        <v>8</v>
      </c>
      <c r="F44" s="69"/>
      <c r="G44" s="115">
        <v>16574</v>
      </c>
      <c r="H44" s="70">
        <v>41907</v>
      </c>
      <c r="I44" s="70">
        <v>41974</v>
      </c>
      <c r="J44" s="91" t="s">
        <v>158</v>
      </c>
      <c r="K44" s="91" t="s">
        <v>125</v>
      </c>
      <c r="L44" s="71">
        <f t="shared" si="4"/>
        <v>12170864.34</v>
      </c>
      <c r="M44" s="72">
        <v>12005124.34</v>
      </c>
      <c r="N44" s="72">
        <v>10</v>
      </c>
      <c r="O44" s="72">
        <f t="shared" si="0"/>
        <v>165740</v>
      </c>
      <c r="P44" s="72">
        <f t="shared" si="5"/>
        <v>132592</v>
      </c>
      <c r="Q44" s="71">
        <f t="shared" si="6"/>
        <v>464072</v>
      </c>
      <c r="R44" s="72">
        <v>298332</v>
      </c>
      <c r="S44" s="71">
        <f t="shared" si="7"/>
        <v>10973919.27</v>
      </c>
      <c r="T44" s="72">
        <v>10253119.33</v>
      </c>
      <c r="U44" s="77">
        <v>720799.94</v>
      </c>
      <c r="V44" s="76">
        <v>6023005.1100000003</v>
      </c>
      <c r="W44" s="76">
        <f t="shared" si="8"/>
        <v>1196945.0700000003</v>
      </c>
      <c r="X44" s="114">
        <f t="shared" si="9"/>
        <v>4950914.1599999992</v>
      </c>
      <c r="Y44" s="50">
        <f t="shared" si="10"/>
        <v>970241.96</v>
      </c>
      <c r="Z44" s="10">
        <f t="shared" si="11"/>
        <v>132592</v>
      </c>
      <c r="AA44" s="53">
        <f t="shared" si="12"/>
        <v>928144</v>
      </c>
    </row>
    <row r="45" spans="1:27" s="10" customFormat="1" ht="30" customHeight="1">
      <c r="A45" s="111">
        <v>43</v>
      </c>
      <c r="B45" s="68" t="s">
        <v>11</v>
      </c>
      <c r="C45" s="68" t="s">
        <v>46</v>
      </c>
      <c r="D45" s="69" t="s">
        <v>266</v>
      </c>
      <c r="E45" s="69">
        <v>8</v>
      </c>
      <c r="F45" s="69"/>
      <c r="G45" s="115">
        <v>10544.7</v>
      </c>
      <c r="H45" s="70">
        <v>41907</v>
      </c>
      <c r="I45" s="70">
        <v>41974</v>
      </c>
      <c r="J45" s="91" t="s">
        <v>159</v>
      </c>
      <c r="K45" s="91" t="s">
        <v>125</v>
      </c>
      <c r="L45" s="71">
        <f t="shared" si="4"/>
        <v>7729597.6099999994</v>
      </c>
      <c r="M45" s="72">
        <v>7624150.6099999994</v>
      </c>
      <c r="N45" s="72">
        <v>10</v>
      </c>
      <c r="O45" s="72">
        <f t="shared" si="0"/>
        <v>105447</v>
      </c>
      <c r="P45" s="72">
        <f t="shared" si="5"/>
        <v>84357.6</v>
      </c>
      <c r="Q45" s="71">
        <f t="shared" si="6"/>
        <v>295251.59999999998</v>
      </c>
      <c r="R45" s="72">
        <v>189804.6</v>
      </c>
      <c r="S45" s="71">
        <f t="shared" si="7"/>
        <v>7383409</v>
      </c>
      <c r="T45" s="72">
        <v>6813165.4800000004</v>
      </c>
      <c r="U45" s="77">
        <f>570243.52</f>
        <v>570243.52</v>
      </c>
      <c r="V45" s="76">
        <v>3497018.7</v>
      </c>
      <c r="W45" s="76">
        <f t="shared" si="8"/>
        <v>346188.6099999994</v>
      </c>
      <c r="X45" s="114">
        <f t="shared" si="9"/>
        <v>3886390.3</v>
      </c>
      <c r="Y45" s="50">
        <f t="shared" si="10"/>
        <v>617286.73800000001</v>
      </c>
      <c r="Z45" s="10">
        <f t="shared" si="11"/>
        <v>84357.6</v>
      </c>
      <c r="AA45" s="53">
        <f t="shared" si="12"/>
        <v>590503.20000000007</v>
      </c>
    </row>
    <row r="46" spans="1:27" s="10" customFormat="1" ht="30" customHeight="1">
      <c r="A46" s="111">
        <v>44</v>
      </c>
      <c r="B46" s="68" t="s">
        <v>11</v>
      </c>
      <c r="C46" s="68" t="s">
        <v>47</v>
      </c>
      <c r="D46" s="69" t="s">
        <v>266</v>
      </c>
      <c r="E46" s="69">
        <v>8</v>
      </c>
      <c r="F46" s="69"/>
      <c r="G46" s="115">
        <v>12073.3</v>
      </c>
      <c r="H46" s="70">
        <v>41913</v>
      </c>
      <c r="I46" s="70">
        <v>41974</v>
      </c>
      <c r="J46" s="91" t="s">
        <v>160</v>
      </c>
      <c r="K46" s="91" t="s">
        <v>125</v>
      </c>
      <c r="L46" s="71">
        <f t="shared" si="4"/>
        <v>8849874.1300000008</v>
      </c>
      <c r="M46" s="72">
        <v>8729141.1300000008</v>
      </c>
      <c r="N46" s="72">
        <v>10</v>
      </c>
      <c r="O46" s="72">
        <f t="shared" si="0"/>
        <v>120733</v>
      </c>
      <c r="P46" s="72">
        <f t="shared" si="5"/>
        <v>96586.4</v>
      </c>
      <c r="Q46" s="71">
        <f t="shared" si="6"/>
        <v>338052.4</v>
      </c>
      <c r="R46" s="72">
        <v>217319.4</v>
      </c>
      <c r="S46" s="71">
        <f t="shared" si="7"/>
        <v>7165723.96</v>
      </c>
      <c r="T46" s="72">
        <v>6712402.0199999996</v>
      </c>
      <c r="U46" s="77">
        <f>321841+131480.94</f>
        <v>453321.94</v>
      </c>
      <c r="V46" s="76">
        <v>3495289.62</v>
      </c>
      <c r="W46" s="76">
        <f t="shared" si="8"/>
        <v>1684150.1700000009</v>
      </c>
      <c r="X46" s="114">
        <f t="shared" si="9"/>
        <v>3670434.34</v>
      </c>
      <c r="Y46" s="50">
        <f t="shared" si="10"/>
        <v>706770.98200000008</v>
      </c>
      <c r="Z46" s="10">
        <f t="shared" si="11"/>
        <v>96586.4</v>
      </c>
      <c r="AA46" s="53">
        <f t="shared" si="12"/>
        <v>676104.79999999993</v>
      </c>
    </row>
    <row r="47" spans="1:27" s="10" customFormat="1" ht="30" customHeight="1">
      <c r="A47" s="111">
        <v>45</v>
      </c>
      <c r="B47" s="68" t="s">
        <v>11</v>
      </c>
      <c r="C47" s="68" t="s">
        <v>322</v>
      </c>
      <c r="D47" s="69"/>
      <c r="E47" s="69">
        <v>7.38</v>
      </c>
      <c r="F47" s="69"/>
      <c r="G47" s="115">
        <v>4966</v>
      </c>
      <c r="H47" s="70">
        <v>44524</v>
      </c>
      <c r="I47" s="70">
        <v>41974</v>
      </c>
      <c r="J47" s="74" t="s">
        <v>323</v>
      </c>
      <c r="K47" s="91" t="s">
        <v>125</v>
      </c>
      <c r="L47" s="71">
        <f t="shared" si="4"/>
        <v>3637858.0300000003</v>
      </c>
      <c r="M47" s="72">
        <v>3592071.5100000002</v>
      </c>
      <c r="N47" s="72">
        <v>9.2200000000000006</v>
      </c>
      <c r="O47" s="72">
        <f t="shared" si="0"/>
        <v>45786.520000000004</v>
      </c>
      <c r="P47" s="72">
        <f t="shared" si="5"/>
        <v>36649.08</v>
      </c>
      <c r="Q47" s="71">
        <f t="shared" si="6"/>
        <v>128222.12000000001</v>
      </c>
      <c r="R47" s="72">
        <v>82435.600000000006</v>
      </c>
      <c r="S47" s="71">
        <f t="shared" si="7"/>
        <v>2543747.23</v>
      </c>
      <c r="T47" s="128">
        <v>2354747.62</v>
      </c>
      <c r="U47" s="76">
        <v>188999.61</v>
      </c>
      <c r="V47" s="76"/>
      <c r="W47" s="76">
        <f t="shared" si="8"/>
        <v>1094110.8000000003</v>
      </c>
      <c r="X47" s="114">
        <f t="shared" si="9"/>
        <v>2543747.23</v>
      </c>
      <c r="Y47" s="50">
        <f t="shared" si="10"/>
        <v>290709.64</v>
      </c>
      <c r="Z47" s="10">
        <f t="shared" si="11"/>
        <v>36649.08</v>
      </c>
      <c r="AA47" s="53">
        <f t="shared" si="12"/>
        <v>256543.56</v>
      </c>
    </row>
    <row r="48" spans="1:27" s="10" customFormat="1" ht="30" customHeight="1">
      <c r="A48" s="111">
        <v>46</v>
      </c>
      <c r="B48" s="68" t="s">
        <v>11</v>
      </c>
      <c r="C48" s="68" t="s">
        <v>50</v>
      </c>
      <c r="D48" s="69" t="s">
        <v>272</v>
      </c>
      <c r="E48" s="69">
        <v>7.38</v>
      </c>
      <c r="F48" s="69"/>
      <c r="G48" s="115">
        <v>2613.4</v>
      </c>
      <c r="H48" s="70">
        <v>41921</v>
      </c>
      <c r="I48" s="70">
        <v>41974</v>
      </c>
      <c r="J48" s="91" t="s">
        <v>163</v>
      </c>
      <c r="K48" s="91" t="s">
        <v>125</v>
      </c>
      <c r="L48" s="71">
        <f t="shared" si="4"/>
        <v>1870880.7879999992</v>
      </c>
      <c r="M48" s="72">
        <v>1846785.2399999993</v>
      </c>
      <c r="N48" s="72">
        <v>9.2200000000000006</v>
      </c>
      <c r="O48" s="72">
        <f t="shared" si="0"/>
        <v>24095.548000000003</v>
      </c>
      <c r="P48" s="72">
        <f t="shared" si="5"/>
        <v>19286.892</v>
      </c>
      <c r="Q48" s="71">
        <f t="shared" si="6"/>
        <v>67477.988000000012</v>
      </c>
      <c r="R48" s="72">
        <v>43382.44</v>
      </c>
      <c r="S48" s="71">
        <f t="shared" si="7"/>
        <v>1932910.16</v>
      </c>
      <c r="T48" s="72">
        <v>1800853.49</v>
      </c>
      <c r="U48" s="78">
        <v>132056.67000000001</v>
      </c>
      <c r="V48" s="76"/>
      <c r="W48" s="76">
        <f t="shared" si="8"/>
        <v>-62029.372000000672</v>
      </c>
      <c r="X48" s="114">
        <f t="shared" si="9"/>
        <v>1932910.16</v>
      </c>
      <c r="Y48" s="50">
        <f t="shared" si="10"/>
        <v>152988.43600000002</v>
      </c>
      <c r="Z48" s="10">
        <f t="shared" si="11"/>
        <v>19286.892</v>
      </c>
      <c r="AA48" s="53">
        <f t="shared" si="12"/>
        <v>135008.24400000001</v>
      </c>
    </row>
    <row r="49" spans="1:27" s="10" customFormat="1" ht="30" customHeight="1">
      <c r="A49" s="111">
        <v>47</v>
      </c>
      <c r="B49" s="68" t="s">
        <v>11</v>
      </c>
      <c r="C49" s="68" t="s">
        <v>51</v>
      </c>
      <c r="D49" s="69" t="s">
        <v>266</v>
      </c>
      <c r="E49" s="69">
        <v>8</v>
      </c>
      <c r="F49" s="69"/>
      <c r="G49" s="115">
        <v>3686</v>
      </c>
      <c r="H49" s="70">
        <v>41933</v>
      </c>
      <c r="I49" s="70">
        <v>41974</v>
      </c>
      <c r="J49" s="74" t="s">
        <v>164</v>
      </c>
      <c r="K49" s="91" t="s">
        <v>125</v>
      </c>
      <c r="L49" s="71">
        <f t="shared" si="4"/>
        <v>2701787.66</v>
      </c>
      <c r="M49" s="72">
        <v>2664927.66</v>
      </c>
      <c r="N49" s="72">
        <v>10</v>
      </c>
      <c r="O49" s="72">
        <f t="shared" si="0"/>
        <v>36860</v>
      </c>
      <c r="P49" s="72">
        <f t="shared" si="5"/>
        <v>29488</v>
      </c>
      <c r="Q49" s="71">
        <f t="shared" si="6"/>
        <v>103208</v>
      </c>
      <c r="R49" s="72">
        <v>66348</v>
      </c>
      <c r="S49" s="71">
        <f t="shared" si="7"/>
        <v>2913956.15</v>
      </c>
      <c r="T49" s="72">
        <v>2699859.77</v>
      </c>
      <c r="U49" s="76">
        <f>214096.38</f>
        <v>214096.38</v>
      </c>
      <c r="V49" s="76"/>
      <c r="W49" s="76">
        <f t="shared" si="8"/>
        <v>-212168.48999999976</v>
      </c>
      <c r="X49" s="114">
        <f t="shared" si="9"/>
        <v>2913956.15</v>
      </c>
      <c r="Y49" s="50">
        <f t="shared" si="10"/>
        <v>215778.44</v>
      </c>
      <c r="Z49" s="10">
        <f t="shared" si="11"/>
        <v>29488</v>
      </c>
      <c r="AA49" s="53">
        <f t="shared" si="12"/>
        <v>206416</v>
      </c>
    </row>
    <row r="50" spans="1:27" s="10" customFormat="1" ht="30" customHeight="1">
      <c r="A50" s="111">
        <v>48</v>
      </c>
      <c r="B50" s="68" t="s">
        <v>11</v>
      </c>
      <c r="C50" s="68" t="s">
        <v>242</v>
      </c>
      <c r="D50" s="69" t="s">
        <v>273</v>
      </c>
      <c r="E50" s="69">
        <v>8</v>
      </c>
      <c r="F50" s="69"/>
      <c r="G50" s="115">
        <v>4128.3</v>
      </c>
      <c r="H50" s="70">
        <v>43524</v>
      </c>
      <c r="I50" s="70">
        <v>41974</v>
      </c>
      <c r="J50" s="91" t="s">
        <v>243</v>
      </c>
      <c r="K50" s="91" t="s">
        <v>125</v>
      </c>
      <c r="L50" s="71">
        <f t="shared" si="4"/>
        <v>2993182.6359999971</v>
      </c>
      <c r="M50" s="72">
        <v>2951899.6359999971</v>
      </c>
      <c r="N50" s="72">
        <v>10</v>
      </c>
      <c r="O50" s="72">
        <f t="shared" si="0"/>
        <v>41283</v>
      </c>
      <c r="P50" s="72">
        <f t="shared" si="5"/>
        <v>33026.400000000001</v>
      </c>
      <c r="Q50" s="71">
        <f t="shared" si="6"/>
        <v>115592.4</v>
      </c>
      <c r="R50" s="72">
        <v>74309.399999999994</v>
      </c>
      <c r="S50" s="71">
        <f t="shared" si="7"/>
        <v>3223978.1700000004</v>
      </c>
      <c r="T50" s="72">
        <v>3013478.7600000002</v>
      </c>
      <c r="U50" s="77">
        <f>143104.77+67394.64</f>
        <v>210499.40999999997</v>
      </c>
      <c r="V50" s="76"/>
      <c r="W50" s="76">
        <f t="shared" si="8"/>
        <v>-230795.53400000324</v>
      </c>
      <c r="X50" s="114">
        <f t="shared" si="9"/>
        <v>3223978.1700000004</v>
      </c>
      <c r="Y50" s="50">
        <f t="shared" si="10"/>
        <v>241670.68200000003</v>
      </c>
      <c r="Z50" s="10">
        <f t="shared" si="11"/>
        <v>33026.400000000001</v>
      </c>
      <c r="AA50" s="53">
        <f t="shared" si="12"/>
        <v>231184.80000000002</v>
      </c>
    </row>
    <row r="51" spans="1:27" s="10" customFormat="1" ht="30" customHeight="1">
      <c r="A51" s="111">
        <v>49</v>
      </c>
      <c r="B51" s="68" t="s">
        <v>11</v>
      </c>
      <c r="C51" s="68" t="s">
        <v>52</v>
      </c>
      <c r="D51" s="69" t="s">
        <v>275</v>
      </c>
      <c r="E51" s="69">
        <v>7.38</v>
      </c>
      <c r="F51" s="69"/>
      <c r="G51" s="115">
        <v>5273.4</v>
      </c>
      <c r="H51" s="70">
        <v>41949</v>
      </c>
      <c r="I51" s="70">
        <v>41974</v>
      </c>
      <c r="J51" s="74" t="s">
        <v>315</v>
      </c>
      <c r="K51" s="91" t="s">
        <v>138</v>
      </c>
      <c r="L51" s="71">
        <f t="shared" si="4"/>
        <v>3696974.3199999989</v>
      </c>
      <c r="M51" s="72">
        <v>3648353.5719999988</v>
      </c>
      <c r="N51" s="72">
        <v>9.2200000000000006</v>
      </c>
      <c r="O51" s="72">
        <f t="shared" si="0"/>
        <v>48620.748</v>
      </c>
      <c r="P51" s="72">
        <f t="shared" si="5"/>
        <v>38917.691999999995</v>
      </c>
      <c r="Q51" s="71">
        <f t="shared" si="6"/>
        <v>136159.18799999999</v>
      </c>
      <c r="R51" s="72">
        <v>87538.44</v>
      </c>
      <c r="S51" s="71">
        <f t="shared" si="7"/>
        <v>2952192.3899999997</v>
      </c>
      <c r="T51" s="72">
        <v>2745472.9699999997</v>
      </c>
      <c r="U51" s="78">
        <f>206719.42</f>
        <v>206719.42</v>
      </c>
      <c r="V51" s="76"/>
      <c r="W51" s="76">
        <f t="shared" si="8"/>
        <v>744781.92999999924</v>
      </c>
      <c r="X51" s="114">
        <f t="shared" si="9"/>
        <v>2952192.3899999997</v>
      </c>
      <c r="Y51" s="50">
        <f t="shared" si="10"/>
        <v>308704.83599999995</v>
      </c>
      <c r="Z51" s="10">
        <f t="shared" si="11"/>
        <v>38917.691999999995</v>
      </c>
      <c r="AA51" s="53">
        <f t="shared" si="12"/>
        <v>272423.84399999998</v>
      </c>
    </row>
    <row r="52" spans="1:27" s="10" customFormat="1" ht="30" customHeight="1">
      <c r="A52" s="111">
        <v>50</v>
      </c>
      <c r="B52" s="68" t="s">
        <v>11</v>
      </c>
      <c r="C52" s="68" t="s">
        <v>232</v>
      </c>
      <c r="D52" s="69" t="s">
        <v>266</v>
      </c>
      <c r="E52" s="69">
        <v>8</v>
      </c>
      <c r="F52" s="69"/>
      <c r="G52" s="115">
        <v>19885.8</v>
      </c>
      <c r="H52" s="70">
        <v>43416</v>
      </c>
      <c r="I52" s="70">
        <v>41974</v>
      </c>
      <c r="J52" s="91" t="s">
        <v>234</v>
      </c>
      <c r="K52" s="91" t="s">
        <v>125</v>
      </c>
      <c r="L52" s="71">
        <f t="shared" si="4"/>
        <v>14691184.710000001</v>
      </c>
      <c r="M52" s="72">
        <v>14492326.710000001</v>
      </c>
      <c r="N52" s="72">
        <v>10</v>
      </c>
      <c r="O52" s="72">
        <f t="shared" si="0"/>
        <v>198858</v>
      </c>
      <c r="P52" s="72">
        <f t="shared" si="5"/>
        <v>159086.39999999999</v>
      </c>
      <c r="Q52" s="71">
        <f t="shared" si="6"/>
        <v>556802.4</v>
      </c>
      <c r="R52" s="72">
        <v>357944.4</v>
      </c>
      <c r="S52" s="71">
        <f t="shared" si="7"/>
        <v>14751981.1</v>
      </c>
      <c r="T52" s="72">
        <v>13892629.109999999</v>
      </c>
      <c r="U52" s="77">
        <f>574399.58+284952.41</f>
        <v>859351.99</v>
      </c>
      <c r="V52" s="76">
        <v>4005285</v>
      </c>
      <c r="W52" s="76">
        <f t="shared" si="8"/>
        <v>-60796.389999998733</v>
      </c>
      <c r="X52" s="114">
        <f>S52-V52</f>
        <v>10746696.1</v>
      </c>
      <c r="Y52" s="50">
        <f t="shared" si="10"/>
        <v>1164114.7320000001</v>
      </c>
      <c r="Z52" s="10">
        <f t="shared" si="11"/>
        <v>159086.39999999999</v>
      </c>
      <c r="AA52" s="53">
        <f t="shared" si="12"/>
        <v>1113604.8</v>
      </c>
    </row>
    <row r="53" spans="1:27" s="10" customFormat="1" ht="30" customHeight="1">
      <c r="A53" s="111">
        <v>51</v>
      </c>
      <c r="B53" s="68" t="s">
        <v>11</v>
      </c>
      <c r="C53" s="68" t="s">
        <v>53</v>
      </c>
      <c r="D53" s="69" t="s">
        <v>266</v>
      </c>
      <c r="E53" s="69">
        <v>8</v>
      </c>
      <c r="F53" s="69"/>
      <c r="G53" s="115">
        <v>15066.4</v>
      </c>
      <c r="H53" s="70">
        <v>42860</v>
      </c>
      <c r="I53" s="70">
        <v>41974</v>
      </c>
      <c r="J53" s="68" t="s">
        <v>167</v>
      </c>
      <c r="K53" s="91" t="s">
        <v>125</v>
      </c>
      <c r="L53" s="71">
        <f t="shared" si="4"/>
        <v>11933299.779999999</v>
      </c>
      <c r="M53" s="72">
        <v>11782635.779999999</v>
      </c>
      <c r="N53" s="72">
        <v>10</v>
      </c>
      <c r="O53" s="72">
        <f t="shared" si="0"/>
        <v>150664</v>
      </c>
      <c r="P53" s="72">
        <f t="shared" si="5"/>
        <v>120531.2</v>
      </c>
      <c r="Q53" s="71">
        <f t="shared" si="6"/>
        <v>421859.2</v>
      </c>
      <c r="R53" s="72">
        <v>271195.2</v>
      </c>
      <c r="S53" s="71">
        <f t="shared" si="7"/>
        <v>12125481.050000001</v>
      </c>
      <c r="T53" s="72">
        <v>11441242.100000001</v>
      </c>
      <c r="U53" s="77">
        <f>684238.95</f>
        <v>684238.95</v>
      </c>
      <c r="V53" s="76">
        <v>7636074.7199999997</v>
      </c>
      <c r="W53" s="76">
        <f t="shared" si="8"/>
        <v>-192181.27000000142</v>
      </c>
      <c r="X53" s="114">
        <f t="shared" si="9"/>
        <v>4489406.330000001</v>
      </c>
      <c r="Y53" s="50">
        <f t="shared" si="10"/>
        <v>881987.05599999998</v>
      </c>
      <c r="Z53" s="10">
        <f t="shared" si="11"/>
        <v>120531.2</v>
      </c>
      <c r="AA53" s="53">
        <f t="shared" si="12"/>
        <v>843718.4</v>
      </c>
    </row>
    <row r="54" spans="1:27" s="10" customFormat="1" ht="30" customHeight="1">
      <c r="A54" s="111">
        <v>52</v>
      </c>
      <c r="B54" s="68" t="s">
        <v>11</v>
      </c>
      <c r="C54" s="68" t="s">
        <v>344</v>
      </c>
      <c r="D54" s="69"/>
      <c r="E54" s="69">
        <v>8</v>
      </c>
      <c r="F54" s="69"/>
      <c r="G54" s="71">
        <v>29107.200000000001</v>
      </c>
      <c r="H54" s="70">
        <v>44839</v>
      </c>
      <c r="I54" s="70">
        <v>41974</v>
      </c>
      <c r="J54" s="74" t="s">
        <v>353</v>
      </c>
      <c r="K54" s="91" t="s">
        <v>125</v>
      </c>
      <c r="L54" s="71">
        <f t="shared" si="4"/>
        <v>7906812.0599999987</v>
      </c>
      <c r="M54" s="72">
        <v>7615740.0599999987</v>
      </c>
      <c r="N54" s="72">
        <v>10</v>
      </c>
      <c r="O54" s="72">
        <f t="shared" si="0"/>
        <v>291072</v>
      </c>
      <c r="P54" s="72">
        <f t="shared" si="5"/>
        <v>232857.60000000001</v>
      </c>
      <c r="Q54" s="71">
        <f t="shared" si="6"/>
        <v>815001.59999999998</v>
      </c>
      <c r="R54" s="72">
        <v>523929.59999999998</v>
      </c>
      <c r="S54" s="71">
        <f t="shared" si="7"/>
        <v>7267439.4300000006</v>
      </c>
      <c r="T54" s="72">
        <v>6250701.3600000003</v>
      </c>
      <c r="U54" s="77">
        <f>1016738.07</f>
        <v>1016738.07</v>
      </c>
      <c r="V54" s="76"/>
      <c r="W54" s="76">
        <f t="shared" si="8"/>
        <v>639372.62999999803</v>
      </c>
      <c r="X54" s="114">
        <f t="shared" si="9"/>
        <v>7267439.4300000006</v>
      </c>
      <c r="Y54" s="50">
        <f t="shared" si="10"/>
        <v>1703935.4879999999</v>
      </c>
      <c r="AA54" s="53"/>
    </row>
    <row r="55" spans="1:27" s="10" customFormat="1" ht="30" customHeight="1">
      <c r="A55" s="111">
        <v>53</v>
      </c>
      <c r="B55" s="68" t="s">
        <v>11</v>
      </c>
      <c r="C55" s="68" t="s">
        <v>54</v>
      </c>
      <c r="D55" s="69" t="s">
        <v>276</v>
      </c>
      <c r="E55" s="69">
        <v>7.38</v>
      </c>
      <c r="F55" s="69"/>
      <c r="G55" s="129">
        <v>2417.9</v>
      </c>
      <c r="H55" s="70">
        <v>41939</v>
      </c>
      <c r="I55" s="70">
        <v>41974</v>
      </c>
      <c r="J55" s="91" t="s">
        <v>168</v>
      </c>
      <c r="K55" s="91" t="s">
        <v>125</v>
      </c>
      <c r="L55" s="71">
        <f t="shared" si="4"/>
        <v>1707520.9779999997</v>
      </c>
      <c r="M55" s="72">
        <v>1685227.9399999997</v>
      </c>
      <c r="N55" s="72">
        <v>9.2200000000000006</v>
      </c>
      <c r="O55" s="72">
        <f t="shared" si="0"/>
        <v>22293.038000000004</v>
      </c>
      <c r="P55" s="72">
        <f t="shared" si="5"/>
        <v>17844.101999999999</v>
      </c>
      <c r="Q55" s="71">
        <f t="shared" si="6"/>
        <v>62430.178</v>
      </c>
      <c r="R55" s="72">
        <v>40137.14</v>
      </c>
      <c r="S55" s="71">
        <f t="shared" si="7"/>
        <v>1602190.12</v>
      </c>
      <c r="T55" s="72">
        <v>1444447.11</v>
      </c>
      <c r="U55" s="77">
        <v>157743.01</v>
      </c>
      <c r="V55" s="76"/>
      <c r="W55" s="76">
        <f t="shared" si="8"/>
        <v>105330.85799999954</v>
      </c>
      <c r="X55" s="114">
        <f t="shared" si="9"/>
        <v>1602190.12</v>
      </c>
      <c r="Y55" s="50">
        <f t="shared" si="10"/>
        <v>141543.86600000001</v>
      </c>
      <c r="Z55" s="10">
        <f t="shared" ref="Z55:Z68" si="13">E55*G55</f>
        <v>17844.101999999999</v>
      </c>
      <c r="AA55" s="53">
        <f t="shared" ref="AA55:AA92" si="14">E55*G55*7</f>
        <v>124908.71399999999</v>
      </c>
    </row>
    <row r="56" spans="1:27" s="10" customFormat="1" ht="30" customHeight="1">
      <c r="A56" s="111">
        <v>54</v>
      </c>
      <c r="B56" s="68" t="s">
        <v>11</v>
      </c>
      <c r="C56" s="68" t="s">
        <v>55</v>
      </c>
      <c r="D56" s="69" t="s">
        <v>266</v>
      </c>
      <c r="E56" s="69">
        <v>7.38</v>
      </c>
      <c r="F56" s="69"/>
      <c r="G56" s="112">
        <v>389.4</v>
      </c>
      <c r="H56" s="94">
        <v>43087</v>
      </c>
      <c r="I56" s="70">
        <v>41974</v>
      </c>
      <c r="J56" s="117" t="s">
        <v>312</v>
      </c>
      <c r="K56" s="68" t="s">
        <v>138</v>
      </c>
      <c r="L56" s="118">
        <f t="shared" si="4"/>
        <v>277275.69999999995</v>
      </c>
      <c r="M56" s="119">
        <v>273685.43199999997</v>
      </c>
      <c r="N56" s="72">
        <v>9.2200000000000006</v>
      </c>
      <c r="O56" s="72">
        <f t="shared" si="0"/>
        <v>3590.268</v>
      </c>
      <c r="P56" s="72">
        <f t="shared" si="5"/>
        <v>2873.7719999999999</v>
      </c>
      <c r="Q56" s="118">
        <f t="shared" si="6"/>
        <v>10054.308000000001</v>
      </c>
      <c r="R56" s="72">
        <v>6464.04</v>
      </c>
      <c r="S56" s="118">
        <f t="shared" si="7"/>
        <v>294071.27999999997</v>
      </c>
      <c r="T56" s="121">
        <v>281584.12</v>
      </c>
      <c r="U56" s="78">
        <v>12487.16</v>
      </c>
      <c r="V56" s="76"/>
      <c r="W56" s="76">
        <f t="shared" si="8"/>
        <v>-16795.580000000016</v>
      </c>
      <c r="X56" s="114">
        <f t="shared" si="9"/>
        <v>294071.27999999997</v>
      </c>
      <c r="Y56" s="50">
        <f t="shared" si="10"/>
        <v>22795.476000000002</v>
      </c>
      <c r="Z56" s="10">
        <f t="shared" si="13"/>
        <v>2873.7719999999999</v>
      </c>
      <c r="AA56" s="53">
        <f t="shared" si="14"/>
        <v>20116.403999999999</v>
      </c>
    </row>
    <row r="57" spans="1:27" s="10" customFormat="1" ht="30" customHeight="1">
      <c r="A57" s="111">
        <v>55</v>
      </c>
      <c r="B57" s="68" t="s">
        <v>11</v>
      </c>
      <c r="C57" s="68" t="s">
        <v>246</v>
      </c>
      <c r="D57" s="69" t="s">
        <v>277</v>
      </c>
      <c r="E57" s="69">
        <v>7.38</v>
      </c>
      <c r="F57" s="69"/>
      <c r="G57" s="126">
        <v>2346.6</v>
      </c>
      <c r="H57" s="70">
        <v>43612</v>
      </c>
      <c r="I57" s="70">
        <v>41974</v>
      </c>
      <c r="J57" s="91" t="s">
        <v>247</v>
      </c>
      <c r="K57" s="91" t="s">
        <v>125</v>
      </c>
      <c r="L57" s="71">
        <f t="shared" si="4"/>
        <v>1677800.8040000012</v>
      </c>
      <c r="M57" s="72">
        <v>1656165.1520000012</v>
      </c>
      <c r="N57" s="72">
        <v>9.2200000000000006</v>
      </c>
      <c r="O57" s="72">
        <f t="shared" si="0"/>
        <v>21635.652000000002</v>
      </c>
      <c r="P57" s="72">
        <f t="shared" si="5"/>
        <v>17317.907999999999</v>
      </c>
      <c r="Q57" s="71">
        <f t="shared" si="6"/>
        <v>60589.212</v>
      </c>
      <c r="R57" s="72">
        <v>38953.56</v>
      </c>
      <c r="S57" s="71">
        <f t="shared" si="7"/>
        <v>1717379.7300000002</v>
      </c>
      <c r="T57" s="72">
        <v>1611802.1500000001</v>
      </c>
      <c r="U57" s="77">
        <f>64977.1+40600.48</f>
        <v>105577.58</v>
      </c>
      <c r="V57" s="76"/>
      <c r="W57" s="76">
        <f t="shared" si="8"/>
        <v>-39578.925999999046</v>
      </c>
      <c r="X57" s="114">
        <f t="shared" si="9"/>
        <v>1717379.7300000002</v>
      </c>
      <c r="Y57" s="50">
        <f t="shared" si="10"/>
        <v>137369.96400000001</v>
      </c>
      <c r="Z57" s="10">
        <f t="shared" si="13"/>
        <v>17317.907999999999</v>
      </c>
      <c r="AA57" s="53">
        <f t="shared" si="14"/>
        <v>121225.356</v>
      </c>
    </row>
    <row r="58" spans="1:27" s="10" customFormat="1" ht="30" customHeight="1">
      <c r="A58" s="111">
        <v>56</v>
      </c>
      <c r="B58" s="68" t="s">
        <v>11</v>
      </c>
      <c r="C58" s="68" t="s">
        <v>56</v>
      </c>
      <c r="D58" s="69" t="s">
        <v>266</v>
      </c>
      <c r="E58" s="69">
        <v>8</v>
      </c>
      <c r="F58" s="69"/>
      <c r="G58" s="115">
        <v>3908.2999999999997</v>
      </c>
      <c r="H58" s="70">
        <v>41926</v>
      </c>
      <c r="I58" s="70">
        <v>41974</v>
      </c>
      <c r="J58" s="91" t="s">
        <v>169</v>
      </c>
      <c r="K58" s="91" t="s">
        <v>125</v>
      </c>
      <c r="L58" s="71">
        <f t="shared" si="4"/>
        <v>2864941.7199999997</v>
      </c>
      <c r="M58" s="72">
        <v>2825858.7199999997</v>
      </c>
      <c r="N58" s="72">
        <v>10</v>
      </c>
      <c r="O58" s="72">
        <f t="shared" si="0"/>
        <v>39083</v>
      </c>
      <c r="P58" s="72">
        <f t="shared" si="5"/>
        <v>31266.399999999998</v>
      </c>
      <c r="Q58" s="71">
        <f t="shared" si="6"/>
        <v>109432.4</v>
      </c>
      <c r="R58" s="72">
        <v>70349.399999999994</v>
      </c>
      <c r="S58" s="71">
        <f t="shared" si="7"/>
        <v>2905158.8099999996</v>
      </c>
      <c r="T58" s="72">
        <v>2766030.8</v>
      </c>
      <c r="U58" s="76">
        <v>139128.01</v>
      </c>
      <c r="V58" s="76">
        <v>2304726.4500000002</v>
      </c>
      <c r="W58" s="76">
        <f t="shared" si="8"/>
        <v>-40217.089999999851</v>
      </c>
      <c r="X58" s="114">
        <f t="shared" si="9"/>
        <v>600432.3599999994</v>
      </c>
      <c r="Y58" s="50">
        <f t="shared" si="10"/>
        <v>228791.88200000001</v>
      </c>
      <c r="Z58" s="10">
        <f t="shared" si="13"/>
        <v>31266.399999999998</v>
      </c>
      <c r="AA58" s="53">
        <f t="shared" si="14"/>
        <v>218864.8</v>
      </c>
    </row>
    <row r="59" spans="1:27" s="10" customFormat="1" ht="30" customHeight="1">
      <c r="A59" s="111">
        <v>57</v>
      </c>
      <c r="B59" s="68" t="s">
        <v>11</v>
      </c>
      <c r="C59" s="68" t="s">
        <v>57</v>
      </c>
      <c r="D59" s="69" t="s">
        <v>266</v>
      </c>
      <c r="E59" s="69">
        <v>7.38</v>
      </c>
      <c r="F59" s="69"/>
      <c r="G59" s="115">
        <v>6072.7</v>
      </c>
      <c r="H59" s="70">
        <v>41913</v>
      </c>
      <c r="I59" s="70">
        <v>41974</v>
      </c>
      <c r="J59" s="91" t="s">
        <v>170</v>
      </c>
      <c r="K59" s="91" t="s">
        <v>125</v>
      </c>
      <c r="L59" s="71">
        <f t="shared" si="4"/>
        <v>4368800.6099999994</v>
      </c>
      <c r="M59" s="72">
        <v>4312810.3159999996</v>
      </c>
      <c r="N59" s="72">
        <v>9.2200000000000006</v>
      </c>
      <c r="O59" s="72">
        <f t="shared" si="0"/>
        <v>55990.294000000002</v>
      </c>
      <c r="P59" s="72">
        <f t="shared" si="5"/>
        <v>44816.525999999998</v>
      </c>
      <c r="Q59" s="71">
        <f t="shared" si="6"/>
        <v>156797.114</v>
      </c>
      <c r="R59" s="72">
        <v>100806.82</v>
      </c>
      <c r="S59" s="71">
        <f t="shared" si="7"/>
        <v>4328316.24</v>
      </c>
      <c r="T59" s="72">
        <v>4095901.7199999997</v>
      </c>
      <c r="U59" s="77">
        <f>158990.94+73423.58</f>
        <v>232414.52000000002</v>
      </c>
      <c r="V59" s="76">
        <v>2971032.34</v>
      </c>
      <c r="W59" s="76">
        <f t="shared" si="8"/>
        <v>40484.36999999918</v>
      </c>
      <c r="X59" s="114">
        <f t="shared" si="9"/>
        <v>1357283.9000000004</v>
      </c>
      <c r="Y59" s="50">
        <f t="shared" si="10"/>
        <v>355495.85800000001</v>
      </c>
      <c r="Z59" s="10">
        <f t="shared" si="13"/>
        <v>44816.525999999998</v>
      </c>
      <c r="AA59" s="53">
        <f t="shared" si="14"/>
        <v>313715.68199999997</v>
      </c>
    </row>
    <row r="60" spans="1:27" s="10" customFormat="1" ht="30" customHeight="1">
      <c r="A60" s="111">
        <v>58</v>
      </c>
      <c r="B60" s="68" t="s">
        <v>11</v>
      </c>
      <c r="C60" s="68" t="s">
        <v>294</v>
      </c>
      <c r="D60" s="69"/>
      <c r="E60" s="69">
        <v>7.38</v>
      </c>
      <c r="F60" s="69"/>
      <c r="G60" s="115">
        <v>3081.9</v>
      </c>
      <c r="H60" s="70">
        <v>44174</v>
      </c>
      <c r="I60" s="70">
        <v>41974</v>
      </c>
      <c r="J60" s="74" t="s">
        <v>295</v>
      </c>
      <c r="K60" s="91" t="s">
        <v>125</v>
      </c>
      <c r="L60" s="71">
        <f t="shared" si="4"/>
        <v>2184675.3959999983</v>
      </c>
      <c r="M60" s="72">
        <v>2156260.2779999985</v>
      </c>
      <c r="N60" s="72">
        <v>9.2200000000000006</v>
      </c>
      <c r="O60" s="72">
        <f t="shared" si="0"/>
        <v>28415.118000000002</v>
      </c>
      <c r="P60" s="72">
        <f t="shared" si="5"/>
        <v>22744.421999999999</v>
      </c>
      <c r="Q60" s="71">
        <f t="shared" si="6"/>
        <v>79574.657999999996</v>
      </c>
      <c r="R60" s="72">
        <v>51159.54</v>
      </c>
      <c r="S60" s="71">
        <f t="shared" si="7"/>
        <v>1978156.6</v>
      </c>
      <c r="T60" s="72">
        <v>1855694.33</v>
      </c>
      <c r="U60" s="77">
        <f>88823.5+33638.77</f>
        <v>122462.26999999999</v>
      </c>
      <c r="V60" s="76">
        <v>859600</v>
      </c>
      <c r="W60" s="76">
        <f t="shared" si="8"/>
        <v>206518.79599999823</v>
      </c>
      <c r="X60" s="114">
        <f t="shared" si="9"/>
        <v>1118556.6000000001</v>
      </c>
      <c r="Y60" s="50">
        <f t="shared" si="10"/>
        <v>180414.42600000001</v>
      </c>
      <c r="Z60" s="10">
        <f t="shared" si="13"/>
        <v>22744.421999999999</v>
      </c>
      <c r="AA60" s="53">
        <f t="shared" si="14"/>
        <v>159210.954</v>
      </c>
    </row>
    <row r="61" spans="1:27" s="10" customFormat="1" ht="30" customHeight="1">
      <c r="A61" s="111">
        <v>59</v>
      </c>
      <c r="B61" s="68" t="s">
        <v>11</v>
      </c>
      <c r="C61" s="68" t="s">
        <v>389</v>
      </c>
      <c r="D61" s="94">
        <v>44152</v>
      </c>
      <c r="E61" s="69">
        <v>7.38</v>
      </c>
      <c r="F61" s="69"/>
      <c r="G61" s="115">
        <v>3708.3</v>
      </c>
      <c r="H61" s="70">
        <v>44152</v>
      </c>
      <c r="I61" s="70">
        <v>41974</v>
      </c>
      <c r="J61" s="74" t="s">
        <v>289</v>
      </c>
      <c r="K61" s="91" t="s">
        <v>125</v>
      </c>
      <c r="L61" s="71">
        <f t="shared" si="4"/>
        <v>2617859.2520000022</v>
      </c>
      <c r="M61" s="72">
        <v>2583668.7260000021</v>
      </c>
      <c r="N61" s="72">
        <v>9.2200000000000006</v>
      </c>
      <c r="O61" s="72">
        <f t="shared" si="0"/>
        <v>34190.526000000005</v>
      </c>
      <c r="P61" s="72">
        <f t="shared" si="5"/>
        <v>27367.254000000001</v>
      </c>
      <c r="Q61" s="71">
        <f t="shared" si="6"/>
        <v>95748.306000000011</v>
      </c>
      <c r="R61" s="72">
        <v>61557.780000000006</v>
      </c>
      <c r="S61" s="71">
        <f t="shared" si="7"/>
        <v>2144407.1800000002</v>
      </c>
      <c r="T61" s="72">
        <v>1978780.7200000002</v>
      </c>
      <c r="U61" s="78">
        <v>165626.46</v>
      </c>
      <c r="V61" s="76"/>
      <c r="W61" s="76">
        <f t="shared" si="8"/>
        <v>473452.07200000202</v>
      </c>
      <c r="X61" s="114">
        <f t="shared" si="9"/>
        <v>2144407.1800000002</v>
      </c>
      <c r="Y61" s="50">
        <f t="shared" si="10"/>
        <v>217083.88200000001</v>
      </c>
      <c r="Z61" s="10">
        <f t="shared" si="13"/>
        <v>27367.254000000001</v>
      </c>
      <c r="AA61" s="53">
        <f t="shared" si="14"/>
        <v>191570.77799999999</v>
      </c>
    </row>
    <row r="62" spans="1:27" s="10" customFormat="1" ht="30" customHeight="1">
      <c r="A62" s="111">
        <v>60</v>
      </c>
      <c r="B62" s="68" t="s">
        <v>11</v>
      </c>
      <c r="C62" s="68" t="s">
        <v>324</v>
      </c>
      <c r="D62" s="94" t="s">
        <v>340</v>
      </c>
      <c r="E62" s="69">
        <v>8</v>
      </c>
      <c r="F62" s="69"/>
      <c r="G62" s="115">
        <v>4497.2</v>
      </c>
      <c r="H62" s="70">
        <v>44532</v>
      </c>
      <c r="I62" s="70">
        <v>41974</v>
      </c>
      <c r="J62" s="74" t="s">
        <v>325</v>
      </c>
      <c r="K62" s="91" t="s">
        <v>125</v>
      </c>
      <c r="L62" s="71">
        <f t="shared" si="4"/>
        <v>956329.58399999992</v>
      </c>
      <c r="M62" s="72">
        <v>911357.58399999992</v>
      </c>
      <c r="N62" s="72">
        <v>10</v>
      </c>
      <c r="O62" s="72">
        <f t="shared" si="0"/>
        <v>44972</v>
      </c>
      <c r="P62" s="72">
        <f t="shared" si="5"/>
        <v>35977.599999999999</v>
      </c>
      <c r="Q62" s="71">
        <f t="shared" si="6"/>
        <v>125921.60000000001</v>
      </c>
      <c r="R62" s="72">
        <v>80949.600000000006</v>
      </c>
      <c r="S62" s="71">
        <f t="shared" si="7"/>
        <v>910488.35</v>
      </c>
      <c r="T62" s="72">
        <v>736927.96</v>
      </c>
      <c r="U62" s="77">
        <v>173560.39</v>
      </c>
      <c r="V62" s="76"/>
      <c r="W62" s="76">
        <f t="shared" si="8"/>
        <v>45841.233999999939</v>
      </c>
      <c r="X62" s="114">
        <f t="shared" si="9"/>
        <v>910488.35</v>
      </c>
      <c r="Y62" s="50">
        <f t="shared" si="10"/>
        <v>263266.08799999999</v>
      </c>
      <c r="Z62" s="10">
        <f t="shared" si="13"/>
        <v>35977.599999999999</v>
      </c>
      <c r="AA62" s="53">
        <f t="shared" si="14"/>
        <v>251843.19999999998</v>
      </c>
    </row>
    <row r="63" spans="1:27" s="10" customFormat="1" ht="30" customHeight="1">
      <c r="A63" s="111">
        <v>61</v>
      </c>
      <c r="B63" s="68" t="s">
        <v>11</v>
      </c>
      <c r="C63" s="68" t="s">
        <v>362</v>
      </c>
      <c r="D63" s="94" t="s">
        <v>340</v>
      </c>
      <c r="E63" s="69">
        <v>8</v>
      </c>
      <c r="F63" s="69"/>
      <c r="G63" s="112">
        <v>5991.7</v>
      </c>
      <c r="H63" s="70">
        <v>45117</v>
      </c>
      <c r="I63" s="70">
        <v>41974</v>
      </c>
      <c r="J63" s="74" t="s">
        <v>368</v>
      </c>
      <c r="K63" s="91" t="s">
        <v>125</v>
      </c>
      <c r="L63" s="71">
        <f t="shared" si="4"/>
        <v>335535.19999999995</v>
      </c>
      <c r="M63" s="72">
        <v>335535.19999999995</v>
      </c>
      <c r="N63" s="72"/>
      <c r="O63" s="72">
        <f t="shared" si="0"/>
        <v>0</v>
      </c>
      <c r="P63" s="72">
        <f t="shared" si="5"/>
        <v>47933.599999999999</v>
      </c>
      <c r="Q63" s="71">
        <f t="shared" si="6"/>
        <v>47933.599999999999</v>
      </c>
      <c r="R63" s="72">
        <v>47933.599999999999</v>
      </c>
      <c r="S63" s="71">
        <f t="shared" si="7"/>
        <v>404764.96</v>
      </c>
      <c r="T63" s="72">
        <v>214568.51</v>
      </c>
      <c r="U63" s="77">
        <f>190196.45</f>
        <v>190196.45</v>
      </c>
      <c r="V63" s="76"/>
      <c r="W63" s="76">
        <f t="shared" si="8"/>
        <v>-69229.760000000068</v>
      </c>
      <c r="X63" s="114">
        <f t="shared" si="9"/>
        <v>404764.96</v>
      </c>
      <c r="Y63" s="50">
        <f t="shared" si="10"/>
        <v>350754.11800000002</v>
      </c>
      <c r="Z63" s="10">
        <f t="shared" si="13"/>
        <v>47933.599999999999</v>
      </c>
      <c r="AA63" s="53">
        <f t="shared" si="14"/>
        <v>335535.2</v>
      </c>
    </row>
    <row r="64" spans="1:27" s="10" customFormat="1" ht="30" customHeight="1">
      <c r="A64" s="111">
        <v>62</v>
      </c>
      <c r="B64" s="68" t="s">
        <v>11</v>
      </c>
      <c r="C64" s="68" t="s">
        <v>363</v>
      </c>
      <c r="D64" s="94" t="s">
        <v>340</v>
      </c>
      <c r="E64" s="69">
        <v>8</v>
      </c>
      <c r="F64" s="69"/>
      <c r="G64" s="112">
        <v>8364.6</v>
      </c>
      <c r="H64" s="70">
        <v>45113</v>
      </c>
      <c r="I64" s="70">
        <v>41974</v>
      </c>
      <c r="J64" s="74" t="s">
        <v>369</v>
      </c>
      <c r="K64" s="91" t="s">
        <v>125</v>
      </c>
      <c r="L64" s="71">
        <f t="shared" si="4"/>
        <v>468417.6</v>
      </c>
      <c r="M64" s="72">
        <v>468417.6</v>
      </c>
      <c r="N64" s="72"/>
      <c r="O64" s="72">
        <f t="shared" si="0"/>
        <v>0</v>
      </c>
      <c r="P64" s="72">
        <f t="shared" si="5"/>
        <v>66916.800000000003</v>
      </c>
      <c r="Q64" s="71">
        <f t="shared" si="6"/>
        <v>66916.800000000003</v>
      </c>
      <c r="R64" s="72">
        <v>66916.800000000003</v>
      </c>
      <c r="S64" s="71">
        <f t="shared" si="7"/>
        <v>594973.61</v>
      </c>
      <c r="T64" s="72">
        <v>299989.56</v>
      </c>
      <c r="U64" s="77">
        <f>212009.16+82974.89</f>
        <v>294984.05</v>
      </c>
      <c r="V64" s="76"/>
      <c r="W64" s="76">
        <f t="shared" si="8"/>
        <v>-126556.01000000001</v>
      </c>
      <c r="X64" s="114">
        <f t="shared" si="9"/>
        <v>594973.61</v>
      </c>
      <c r="Y64" s="50">
        <f t="shared" si="10"/>
        <v>489663.68400000001</v>
      </c>
      <c r="Z64" s="10">
        <f t="shared" si="13"/>
        <v>66916.800000000003</v>
      </c>
      <c r="AA64" s="53">
        <f t="shared" si="14"/>
        <v>468417.60000000003</v>
      </c>
    </row>
    <row r="65" spans="1:27" s="10" customFormat="1" ht="30" customHeight="1">
      <c r="A65" s="111">
        <v>63</v>
      </c>
      <c r="B65" s="68" t="s">
        <v>11</v>
      </c>
      <c r="C65" s="68" t="s">
        <v>331</v>
      </c>
      <c r="D65" s="94" t="s">
        <v>340</v>
      </c>
      <c r="E65" s="69">
        <v>8</v>
      </c>
      <c r="F65" s="69"/>
      <c r="G65" s="112">
        <v>6117.7</v>
      </c>
      <c r="H65" s="70">
        <v>44757</v>
      </c>
      <c r="I65" s="70">
        <v>41974</v>
      </c>
      <c r="J65" s="74" t="s">
        <v>332</v>
      </c>
      <c r="K65" s="91" t="s">
        <v>125</v>
      </c>
      <c r="L65" s="71">
        <f t="shared" si="4"/>
        <v>1785117.9920000008</v>
      </c>
      <c r="M65" s="72">
        <v>1723940.9920000008</v>
      </c>
      <c r="N65" s="72">
        <v>10</v>
      </c>
      <c r="O65" s="72">
        <f t="shared" si="0"/>
        <v>61177</v>
      </c>
      <c r="P65" s="72">
        <f t="shared" si="5"/>
        <v>48941.599999999999</v>
      </c>
      <c r="Q65" s="71">
        <f t="shared" si="6"/>
        <v>171295.6</v>
      </c>
      <c r="R65" s="72">
        <v>110118.6</v>
      </c>
      <c r="S65" s="71">
        <f t="shared" si="7"/>
        <v>1923770.24</v>
      </c>
      <c r="T65" s="72">
        <v>1608832.56</v>
      </c>
      <c r="U65" s="77">
        <f>236071.93+78865.75</f>
        <v>314937.68</v>
      </c>
      <c r="V65" s="76"/>
      <c r="W65" s="76">
        <f t="shared" si="8"/>
        <v>-138652.24799999921</v>
      </c>
      <c r="X65" s="114">
        <f t="shared" si="9"/>
        <v>1923770.24</v>
      </c>
      <c r="Y65" s="50">
        <f t="shared" si="10"/>
        <v>358130.158</v>
      </c>
      <c r="Z65" s="10">
        <f t="shared" si="13"/>
        <v>48941.599999999999</v>
      </c>
      <c r="AA65" s="53">
        <f t="shared" si="14"/>
        <v>342591.2</v>
      </c>
    </row>
    <row r="66" spans="1:27" s="10" customFormat="1" ht="30" customHeight="1">
      <c r="A66" s="111">
        <v>64</v>
      </c>
      <c r="B66" s="68" t="s">
        <v>11</v>
      </c>
      <c r="C66" s="68" t="s">
        <v>364</v>
      </c>
      <c r="D66" s="94" t="s">
        <v>340</v>
      </c>
      <c r="E66" s="69">
        <v>8</v>
      </c>
      <c r="F66" s="69"/>
      <c r="G66" s="112">
        <v>6009.1</v>
      </c>
      <c r="H66" s="70">
        <v>45114</v>
      </c>
      <c r="I66" s="70">
        <v>41974</v>
      </c>
      <c r="J66" s="74" t="s">
        <v>258</v>
      </c>
      <c r="K66" s="91" t="s">
        <v>125</v>
      </c>
      <c r="L66" s="71">
        <f t="shared" si="4"/>
        <v>336509.6</v>
      </c>
      <c r="M66" s="72">
        <v>336509.6</v>
      </c>
      <c r="N66" s="72"/>
      <c r="O66" s="72">
        <f t="shared" si="0"/>
        <v>0</v>
      </c>
      <c r="P66" s="72">
        <f t="shared" si="5"/>
        <v>48072.800000000003</v>
      </c>
      <c r="Q66" s="71">
        <f t="shared" si="6"/>
        <v>48072.800000000003</v>
      </c>
      <c r="R66" s="72">
        <v>48072.800000000003</v>
      </c>
      <c r="S66" s="71">
        <f t="shared" si="7"/>
        <v>397559.73</v>
      </c>
      <c r="T66" s="72">
        <v>203789.92</v>
      </c>
      <c r="U66" s="77">
        <f>140256.62+53513.19</f>
        <v>193769.81</v>
      </c>
      <c r="V66" s="76"/>
      <c r="W66" s="76">
        <f t="shared" si="8"/>
        <v>-61050.130000000005</v>
      </c>
      <c r="X66" s="114">
        <f t="shared" si="9"/>
        <v>397559.73</v>
      </c>
      <c r="Y66" s="50"/>
      <c r="AA66" s="53"/>
    </row>
    <row r="67" spans="1:27" s="10" customFormat="1" ht="30" customHeight="1">
      <c r="A67" s="111">
        <v>65</v>
      </c>
      <c r="B67" s="68" t="s">
        <v>11</v>
      </c>
      <c r="C67" s="68" t="s">
        <v>296</v>
      </c>
      <c r="D67" s="94" t="s">
        <v>340</v>
      </c>
      <c r="E67" s="69">
        <v>8</v>
      </c>
      <c r="F67" s="69"/>
      <c r="G67" s="112">
        <v>6472.9</v>
      </c>
      <c r="H67" s="70">
        <v>44174</v>
      </c>
      <c r="I67" s="70">
        <v>41974</v>
      </c>
      <c r="J67" s="74" t="s">
        <v>291</v>
      </c>
      <c r="K67" s="91" t="s">
        <v>125</v>
      </c>
      <c r="L67" s="71">
        <f t="shared" si="4"/>
        <v>1882189.8680000002</v>
      </c>
      <c r="M67" s="72">
        <v>1817460.8680000002</v>
      </c>
      <c r="N67" s="72">
        <v>10</v>
      </c>
      <c r="O67" s="72">
        <f t="shared" ref="O67:O131" si="15">N67*G67</f>
        <v>64729</v>
      </c>
      <c r="P67" s="72">
        <f t="shared" si="5"/>
        <v>51783.199999999997</v>
      </c>
      <c r="Q67" s="71">
        <f t="shared" si="6"/>
        <v>181241.2</v>
      </c>
      <c r="R67" s="72">
        <v>116512.2</v>
      </c>
      <c r="S67" s="71">
        <f t="shared" si="7"/>
        <v>2030829.98</v>
      </c>
      <c r="T67" s="72">
        <v>1752514.78</v>
      </c>
      <c r="U67" s="78">
        <f>278315.2</f>
        <v>278315.2</v>
      </c>
      <c r="V67" s="76"/>
      <c r="W67" s="76">
        <f t="shared" si="8"/>
        <v>-148640.11199999973</v>
      </c>
      <c r="X67" s="114">
        <f t="shared" si="9"/>
        <v>2030829.98</v>
      </c>
      <c r="Y67" s="50">
        <f t="shared" si="10"/>
        <v>378923.56599999999</v>
      </c>
      <c r="Z67" s="10">
        <f t="shared" si="13"/>
        <v>51783.199999999997</v>
      </c>
      <c r="AA67" s="53">
        <f t="shared" si="14"/>
        <v>362482.39999999997</v>
      </c>
    </row>
    <row r="68" spans="1:27" s="10" customFormat="1" ht="30" customHeight="1">
      <c r="A68" s="111">
        <v>66</v>
      </c>
      <c r="B68" s="68" t="s">
        <v>11</v>
      </c>
      <c r="C68" s="68" t="s">
        <v>333</v>
      </c>
      <c r="D68" s="94" t="s">
        <v>340</v>
      </c>
      <c r="E68" s="69">
        <v>8</v>
      </c>
      <c r="F68" s="69"/>
      <c r="G68" s="112">
        <v>6116.4</v>
      </c>
      <c r="H68" s="70">
        <v>44753</v>
      </c>
      <c r="I68" s="70">
        <v>41974</v>
      </c>
      <c r="J68" s="74" t="s">
        <v>334</v>
      </c>
      <c r="K68" s="91" t="s">
        <v>125</v>
      </c>
      <c r="L68" s="71">
        <f t="shared" ref="L68:L131" si="16">M68+O68</f>
        <v>1783058.3939999996</v>
      </c>
      <c r="M68" s="72">
        <v>1721894.3939999996</v>
      </c>
      <c r="N68" s="72">
        <v>10</v>
      </c>
      <c r="O68" s="72">
        <f t="shared" si="15"/>
        <v>61164</v>
      </c>
      <c r="P68" s="72">
        <f t="shared" ref="P68:P132" si="17">G68*E68</f>
        <v>48931.199999999997</v>
      </c>
      <c r="Q68" s="71">
        <f t="shared" ref="Q68:Q131" si="18">R68+O68</f>
        <v>171259.2</v>
      </c>
      <c r="R68" s="72">
        <v>110095.2</v>
      </c>
      <c r="S68" s="71">
        <f t="shared" ref="S68:S130" si="19">T68+U68</f>
        <v>1892685.21</v>
      </c>
      <c r="T68" s="72">
        <v>1613524.52</v>
      </c>
      <c r="U68" s="77">
        <f>279160.69</f>
        <v>279160.69</v>
      </c>
      <c r="V68" s="76"/>
      <c r="W68" s="76">
        <f t="shared" ref="W68:W137" si="20">L68-S68</f>
        <v>-109626.81600000034</v>
      </c>
      <c r="X68" s="114">
        <f t="shared" ref="X68:X141" si="21">S68-V68</f>
        <v>1892685.21</v>
      </c>
      <c r="Y68" s="50">
        <f t="shared" si="10"/>
        <v>358054.05599999998</v>
      </c>
      <c r="Z68" s="10">
        <f t="shared" si="13"/>
        <v>48931.199999999997</v>
      </c>
      <c r="AA68" s="53">
        <f t="shared" si="14"/>
        <v>342518.39999999997</v>
      </c>
    </row>
    <row r="69" spans="1:27" s="10" customFormat="1" ht="30" customHeight="1">
      <c r="A69" s="111">
        <v>67</v>
      </c>
      <c r="B69" s="68" t="s">
        <v>11</v>
      </c>
      <c r="C69" s="68" t="s">
        <v>329</v>
      </c>
      <c r="D69" s="94" t="s">
        <v>340</v>
      </c>
      <c r="E69" s="69">
        <v>8</v>
      </c>
      <c r="F69" s="69"/>
      <c r="G69" s="115">
        <v>5981.8</v>
      </c>
      <c r="H69" s="70">
        <v>44685</v>
      </c>
      <c r="I69" s="70">
        <v>41974</v>
      </c>
      <c r="J69" s="115" t="s">
        <v>330</v>
      </c>
      <c r="K69" s="91" t="s">
        <v>125</v>
      </c>
      <c r="L69" s="71">
        <f t="shared" si="16"/>
        <v>1786779.361999999</v>
      </c>
      <c r="M69" s="72">
        <v>1726961.361999999</v>
      </c>
      <c r="N69" s="72">
        <v>10</v>
      </c>
      <c r="O69" s="72">
        <f t="shared" si="15"/>
        <v>59818</v>
      </c>
      <c r="P69" s="72">
        <f t="shared" si="17"/>
        <v>47854.400000000001</v>
      </c>
      <c r="Q69" s="71">
        <f t="shared" si="18"/>
        <v>167490.4</v>
      </c>
      <c r="R69" s="72">
        <v>107672.4</v>
      </c>
      <c r="S69" s="71">
        <f t="shared" si="19"/>
        <v>1849021.0299999998</v>
      </c>
      <c r="T69" s="72">
        <v>1597979.1099999999</v>
      </c>
      <c r="U69" s="78">
        <v>251041.92000000001</v>
      </c>
      <c r="V69" s="76"/>
      <c r="W69" s="76">
        <f t="shared" si="20"/>
        <v>-62241.668000000762</v>
      </c>
      <c r="X69" s="114">
        <f t="shared" si="21"/>
        <v>1849021.0299999998</v>
      </c>
      <c r="Y69" s="50" t="s">
        <v>330</v>
      </c>
      <c r="Z69" s="10" t="s">
        <v>125</v>
      </c>
      <c r="AA69" s="53">
        <f t="shared" si="14"/>
        <v>334980.8</v>
      </c>
    </row>
    <row r="70" spans="1:27" s="10" customFormat="1" ht="30" customHeight="1">
      <c r="A70" s="111">
        <v>68</v>
      </c>
      <c r="B70" s="68" t="s">
        <v>11</v>
      </c>
      <c r="C70" s="68" t="s">
        <v>365</v>
      </c>
      <c r="D70" s="94" t="s">
        <v>340</v>
      </c>
      <c r="E70" s="69">
        <v>8</v>
      </c>
      <c r="F70" s="69"/>
      <c r="G70" s="112">
        <v>4022.9</v>
      </c>
      <c r="H70" s="70">
        <v>45117</v>
      </c>
      <c r="I70" s="70">
        <v>41974</v>
      </c>
      <c r="J70" s="130" t="s">
        <v>367</v>
      </c>
      <c r="K70" s="91" t="s">
        <v>125</v>
      </c>
      <c r="L70" s="71">
        <f t="shared" si="16"/>
        <v>225282.40000000002</v>
      </c>
      <c r="M70" s="72">
        <v>225282.40000000002</v>
      </c>
      <c r="N70" s="72"/>
      <c r="O70" s="72">
        <f t="shared" si="15"/>
        <v>0</v>
      </c>
      <c r="P70" s="72">
        <f t="shared" si="17"/>
        <v>32183.200000000001</v>
      </c>
      <c r="Q70" s="71">
        <f t="shared" si="18"/>
        <v>32183.200000000001</v>
      </c>
      <c r="R70" s="72">
        <v>32183.200000000001</v>
      </c>
      <c r="S70" s="71">
        <f t="shared" si="19"/>
        <v>284885.36</v>
      </c>
      <c r="T70" s="72">
        <v>151320.91</v>
      </c>
      <c r="U70" s="77">
        <f>133564.45</f>
        <v>133564.45000000001</v>
      </c>
      <c r="V70" s="76"/>
      <c r="W70" s="76">
        <f t="shared" si="20"/>
        <v>-59602.959999999963</v>
      </c>
      <c r="X70" s="114">
        <f t="shared" si="21"/>
        <v>284885.36</v>
      </c>
      <c r="Y70" s="50"/>
      <c r="AA70" s="53">
        <f t="shared" si="14"/>
        <v>225282.4</v>
      </c>
    </row>
    <row r="71" spans="1:27" s="10" customFormat="1" ht="30" customHeight="1">
      <c r="A71" s="111">
        <v>69</v>
      </c>
      <c r="B71" s="68" t="s">
        <v>11</v>
      </c>
      <c r="C71" s="68" t="s">
        <v>370</v>
      </c>
      <c r="D71" s="94" t="s">
        <v>340</v>
      </c>
      <c r="E71" s="69">
        <v>8</v>
      </c>
      <c r="F71" s="69"/>
      <c r="G71" s="112">
        <v>6490.3</v>
      </c>
      <c r="H71" s="70">
        <v>45113</v>
      </c>
      <c r="I71" s="70">
        <v>41974</v>
      </c>
      <c r="J71" s="130" t="s">
        <v>371</v>
      </c>
      <c r="K71" s="91" t="s">
        <v>125</v>
      </c>
      <c r="L71" s="71">
        <f t="shared" si="16"/>
        <v>363456.80000000005</v>
      </c>
      <c r="M71" s="72">
        <v>363456.80000000005</v>
      </c>
      <c r="N71" s="72"/>
      <c r="O71" s="72">
        <f t="shared" si="15"/>
        <v>0</v>
      </c>
      <c r="P71" s="72">
        <f t="shared" si="17"/>
        <v>51922.400000000001</v>
      </c>
      <c r="Q71" s="71">
        <f t="shared" si="18"/>
        <v>51922.400000000001</v>
      </c>
      <c r="R71" s="72">
        <v>51922.400000000001</v>
      </c>
      <c r="S71" s="71">
        <f t="shared" si="19"/>
        <v>492038.8</v>
      </c>
      <c r="T71" s="72">
        <v>228988.86</v>
      </c>
      <c r="U71" s="77">
        <f>175006.06+88043.88</f>
        <v>263049.94</v>
      </c>
      <c r="V71" s="76"/>
      <c r="W71" s="76">
        <f t="shared" si="20"/>
        <v>-128581.99999999994</v>
      </c>
      <c r="X71" s="114">
        <f t="shared" si="21"/>
        <v>492038.8</v>
      </c>
      <c r="Y71" s="50"/>
      <c r="AA71" s="53">
        <f t="shared" si="14"/>
        <v>363456.8</v>
      </c>
    </row>
    <row r="72" spans="1:27" s="10" customFormat="1" ht="30" customHeight="1">
      <c r="A72" s="111">
        <v>70</v>
      </c>
      <c r="B72" s="68" t="s">
        <v>11</v>
      </c>
      <c r="C72" s="68" t="s">
        <v>366</v>
      </c>
      <c r="D72" s="94" t="s">
        <v>340</v>
      </c>
      <c r="E72" s="69">
        <v>8</v>
      </c>
      <c r="F72" s="69"/>
      <c r="G72" s="112">
        <v>6027.1</v>
      </c>
      <c r="H72" s="70">
        <v>45113</v>
      </c>
      <c r="I72" s="70">
        <v>41974</v>
      </c>
      <c r="J72" s="130" t="s">
        <v>165</v>
      </c>
      <c r="K72" s="91" t="s">
        <v>125</v>
      </c>
      <c r="L72" s="71">
        <f t="shared" si="16"/>
        <v>337517.6</v>
      </c>
      <c r="M72" s="72">
        <v>337517.6</v>
      </c>
      <c r="N72" s="72"/>
      <c r="O72" s="72">
        <f t="shared" si="15"/>
        <v>0</v>
      </c>
      <c r="P72" s="72">
        <f t="shared" si="17"/>
        <v>48216.800000000003</v>
      </c>
      <c r="Q72" s="71">
        <f t="shared" si="18"/>
        <v>48216.800000000003</v>
      </c>
      <c r="R72" s="72">
        <v>48216.800000000003</v>
      </c>
      <c r="S72" s="71">
        <f t="shared" si="19"/>
        <v>434393.38</v>
      </c>
      <c r="T72" s="72">
        <v>223286.76</v>
      </c>
      <c r="U72" s="78">
        <v>211106.62</v>
      </c>
      <c r="V72" s="76"/>
      <c r="W72" s="76">
        <f t="shared" si="20"/>
        <v>-96875.780000000028</v>
      </c>
      <c r="X72" s="114">
        <f t="shared" si="21"/>
        <v>434393.38</v>
      </c>
      <c r="Y72" s="50"/>
      <c r="AA72" s="53"/>
    </row>
    <row r="73" spans="1:27" s="10" customFormat="1" ht="30" customHeight="1">
      <c r="A73" s="111">
        <v>71</v>
      </c>
      <c r="B73" s="68" t="s">
        <v>11</v>
      </c>
      <c r="C73" s="68" t="s">
        <v>347</v>
      </c>
      <c r="D73" s="94" t="s">
        <v>340</v>
      </c>
      <c r="E73" s="69">
        <v>8</v>
      </c>
      <c r="F73" s="69"/>
      <c r="G73" s="112">
        <v>5987.6</v>
      </c>
      <c r="H73" s="70">
        <v>44889</v>
      </c>
      <c r="I73" s="70">
        <v>41974</v>
      </c>
      <c r="J73" s="130" t="s">
        <v>348</v>
      </c>
      <c r="K73" s="91" t="s">
        <v>125</v>
      </c>
      <c r="L73" s="71">
        <f t="shared" si="16"/>
        <v>784495.35200000007</v>
      </c>
      <c r="M73" s="72">
        <v>724619.35200000007</v>
      </c>
      <c r="N73" s="72">
        <v>10</v>
      </c>
      <c r="O73" s="72">
        <f t="shared" si="15"/>
        <v>59876</v>
      </c>
      <c r="P73" s="72">
        <f t="shared" si="17"/>
        <v>47900.800000000003</v>
      </c>
      <c r="Q73" s="71">
        <f t="shared" si="18"/>
        <v>167652.79999999999</v>
      </c>
      <c r="R73" s="72">
        <v>107776.8</v>
      </c>
      <c r="S73" s="71">
        <f t="shared" si="19"/>
        <v>752497.95000000007</v>
      </c>
      <c r="T73" s="72">
        <v>539243.03</v>
      </c>
      <c r="U73" s="78">
        <f>213254.92</f>
        <v>213254.92</v>
      </c>
      <c r="V73" s="76"/>
      <c r="W73" s="76">
        <f t="shared" si="20"/>
        <v>31997.402000000002</v>
      </c>
      <c r="X73" s="114">
        <f t="shared" si="21"/>
        <v>752497.95000000007</v>
      </c>
      <c r="Y73" s="50"/>
      <c r="AA73" s="53">
        <f t="shared" si="14"/>
        <v>335305.60000000003</v>
      </c>
    </row>
    <row r="74" spans="1:27" s="10" customFormat="1" ht="30" customHeight="1">
      <c r="A74" s="111">
        <v>72</v>
      </c>
      <c r="B74" s="68" t="s">
        <v>11</v>
      </c>
      <c r="C74" s="68" t="s">
        <v>59</v>
      </c>
      <c r="D74" s="69" t="s">
        <v>266</v>
      </c>
      <c r="E74" s="69">
        <v>7.38</v>
      </c>
      <c r="F74" s="69"/>
      <c r="G74" s="112">
        <v>2939.1</v>
      </c>
      <c r="H74" s="94">
        <v>41999</v>
      </c>
      <c r="I74" s="70">
        <v>41974</v>
      </c>
      <c r="J74" s="117" t="s">
        <v>319</v>
      </c>
      <c r="K74" s="68" t="s">
        <v>138</v>
      </c>
      <c r="L74" s="118">
        <f t="shared" si="16"/>
        <v>2109504.06</v>
      </c>
      <c r="M74" s="119">
        <v>2082405.558</v>
      </c>
      <c r="N74" s="72">
        <v>9.2200000000000006</v>
      </c>
      <c r="O74" s="72">
        <f t="shared" si="15"/>
        <v>27098.502</v>
      </c>
      <c r="P74" s="72">
        <f t="shared" si="17"/>
        <v>21690.557999999997</v>
      </c>
      <c r="Q74" s="118">
        <f t="shared" si="18"/>
        <v>75887.562000000005</v>
      </c>
      <c r="R74" s="72">
        <v>48789.06</v>
      </c>
      <c r="S74" s="118">
        <f>T74+U74</f>
        <v>1924467.63</v>
      </c>
      <c r="T74" s="121">
        <v>1789316.72</v>
      </c>
      <c r="U74" s="78">
        <v>135150.91</v>
      </c>
      <c r="V74" s="76">
        <v>367731.44</v>
      </c>
      <c r="W74" s="76">
        <f t="shared" si="20"/>
        <v>185036.43000000017</v>
      </c>
      <c r="X74" s="114">
        <f t="shared" si="21"/>
        <v>1556736.19</v>
      </c>
      <c r="Y74" s="50">
        <f t="shared" ref="Y74:Y92" si="22">(6.3*G74)+(6.53*G74*8)</f>
        <v>172054.91399999999</v>
      </c>
      <c r="Z74" s="10">
        <f t="shared" ref="Z74:Z92" si="23">E74*G74</f>
        <v>21690.557999999997</v>
      </c>
      <c r="AA74" s="53">
        <f t="shared" si="14"/>
        <v>151833.90599999999</v>
      </c>
    </row>
    <row r="75" spans="1:27" s="10" customFormat="1" ht="30" customHeight="1">
      <c r="A75" s="111">
        <v>73</v>
      </c>
      <c r="B75" s="68" t="s">
        <v>11</v>
      </c>
      <c r="C75" s="68" t="s">
        <v>58</v>
      </c>
      <c r="D75" s="69" t="s">
        <v>266</v>
      </c>
      <c r="E75" s="69">
        <v>8</v>
      </c>
      <c r="F75" s="69"/>
      <c r="G75" s="115">
        <v>6187.2999999999993</v>
      </c>
      <c r="H75" s="70">
        <v>41939</v>
      </c>
      <c r="I75" s="70">
        <v>41974</v>
      </c>
      <c r="J75" s="91" t="s">
        <v>171</v>
      </c>
      <c r="K75" s="91" t="s">
        <v>125</v>
      </c>
      <c r="L75" s="71">
        <f t="shared" si="16"/>
        <v>4566611.8500000006</v>
      </c>
      <c r="M75" s="72">
        <v>4504738.8500000006</v>
      </c>
      <c r="N75" s="72">
        <v>10</v>
      </c>
      <c r="O75" s="72">
        <f t="shared" si="15"/>
        <v>61872.999999999993</v>
      </c>
      <c r="P75" s="72">
        <f t="shared" si="17"/>
        <v>49498.399999999994</v>
      </c>
      <c r="Q75" s="71">
        <f t="shared" si="18"/>
        <v>173244.4</v>
      </c>
      <c r="R75" s="72">
        <v>111371.4</v>
      </c>
      <c r="S75" s="71">
        <f>T75+U75</f>
        <v>4453246.91</v>
      </c>
      <c r="T75" s="72">
        <v>4079846.3200000003</v>
      </c>
      <c r="U75" s="77">
        <v>373400.59</v>
      </c>
      <c r="V75" s="76"/>
      <c r="W75" s="76">
        <f t="shared" si="20"/>
        <v>113364.94000000041</v>
      </c>
      <c r="X75" s="114">
        <f>S75-V75</f>
        <v>4453246.91</v>
      </c>
      <c r="Y75" s="50">
        <f t="shared" si="22"/>
        <v>362204.54199999996</v>
      </c>
      <c r="Z75" s="10">
        <f t="shared" si="23"/>
        <v>49498.399999999994</v>
      </c>
      <c r="AA75" s="53">
        <f t="shared" si="14"/>
        <v>346488.79999999993</v>
      </c>
    </row>
    <row r="76" spans="1:27" s="10" customFormat="1" ht="30" customHeight="1">
      <c r="A76" s="111">
        <v>74</v>
      </c>
      <c r="B76" s="68" t="s">
        <v>11</v>
      </c>
      <c r="C76" s="68" t="s">
        <v>250</v>
      </c>
      <c r="D76" s="69" t="s">
        <v>274</v>
      </c>
      <c r="E76" s="69">
        <v>7.38</v>
      </c>
      <c r="F76" s="69"/>
      <c r="G76" s="115">
        <v>5759.8</v>
      </c>
      <c r="H76" s="70">
        <v>43679</v>
      </c>
      <c r="I76" s="70">
        <v>41974</v>
      </c>
      <c r="J76" s="91" t="s">
        <v>251</v>
      </c>
      <c r="K76" s="91" t="s">
        <v>125</v>
      </c>
      <c r="L76" s="71">
        <f t="shared" si="16"/>
        <v>4083467.572000002</v>
      </c>
      <c r="M76" s="72">
        <v>4030362.2160000019</v>
      </c>
      <c r="N76" s="72">
        <v>9.2200000000000006</v>
      </c>
      <c r="O76" s="72">
        <f t="shared" si="15"/>
        <v>53105.356000000007</v>
      </c>
      <c r="P76" s="72">
        <f t="shared" si="17"/>
        <v>42507.324000000001</v>
      </c>
      <c r="Q76" s="71">
        <f t="shared" si="18"/>
        <v>148718.03600000002</v>
      </c>
      <c r="R76" s="72">
        <v>95612.680000000008</v>
      </c>
      <c r="S76" s="71">
        <f>T76+U76</f>
        <v>3854306.76</v>
      </c>
      <c r="T76" s="72">
        <v>3611238.67</v>
      </c>
      <c r="U76" s="77">
        <f>169181.78+73886.31</f>
        <v>243068.09</v>
      </c>
      <c r="V76" s="76"/>
      <c r="W76" s="76">
        <f t="shared" si="20"/>
        <v>229160.81200000225</v>
      </c>
      <c r="X76" s="114">
        <f t="shared" si="21"/>
        <v>3854306.76</v>
      </c>
      <c r="Y76" s="50">
        <f t="shared" si="22"/>
        <v>337178.69200000004</v>
      </c>
      <c r="Z76" s="10">
        <f t="shared" si="23"/>
        <v>42507.324000000001</v>
      </c>
      <c r="AA76" s="53">
        <f t="shared" si="14"/>
        <v>297551.26799999998</v>
      </c>
    </row>
    <row r="77" spans="1:27" s="10" customFormat="1" ht="30" customHeight="1">
      <c r="A77" s="111">
        <v>75</v>
      </c>
      <c r="B77" s="68" t="s">
        <v>11</v>
      </c>
      <c r="C77" s="68" t="s">
        <v>60</v>
      </c>
      <c r="D77" s="69" t="s">
        <v>278</v>
      </c>
      <c r="E77" s="69">
        <v>8</v>
      </c>
      <c r="F77" s="69"/>
      <c r="G77" s="115">
        <v>7024.7</v>
      </c>
      <c r="H77" s="70">
        <v>41920</v>
      </c>
      <c r="I77" s="70">
        <v>41974</v>
      </c>
      <c r="J77" s="91" t="s">
        <v>172</v>
      </c>
      <c r="K77" s="91" t="s">
        <v>125</v>
      </c>
      <c r="L77" s="71">
        <f t="shared" si="16"/>
        <v>5088901.1199999973</v>
      </c>
      <c r="M77" s="72">
        <v>5018654.1199999973</v>
      </c>
      <c r="N77" s="72">
        <v>10</v>
      </c>
      <c r="O77" s="72">
        <f t="shared" si="15"/>
        <v>70247</v>
      </c>
      <c r="P77" s="72">
        <f t="shared" si="17"/>
        <v>56197.599999999999</v>
      </c>
      <c r="Q77" s="71">
        <f t="shared" si="18"/>
        <v>196691.6</v>
      </c>
      <c r="R77" s="72">
        <v>126444.6</v>
      </c>
      <c r="S77" s="71">
        <f>T77+U77</f>
        <v>5133886.1100000003</v>
      </c>
      <c r="T77" s="72">
        <v>4747431.74</v>
      </c>
      <c r="U77" s="78">
        <f>386454.37</f>
        <v>386454.37</v>
      </c>
      <c r="V77" s="76"/>
      <c r="W77" s="76">
        <f t="shared" si="20"/>
        <v>-44984.990000003017</v>
      </c>
      <c r="X77" s="114">
        <f t="shared" si="21"/>
        <v>5133886.1100000003</v>
      </c>
      <c r="Y77" s="50">
        <f t="shared" si="22"/>
        <v>411225.93799999997</v>
      </c>
      <c r="Z77" s="10">
        <f t="shared" si="23"/>
        <v>56197.599999999999</v>
      </c>
      <c r="AA77" s="53">
        <f t="shared" si="14"/>
        <v>393383.2</v>
      </c>
    </row>
    <row r="78" spans="1:27" s="10" customFormat="1" ht="30" customHeight="1">
      <c r="A78" s="111">
        <v>76</v>
      </c>
      <c r="B78" s="68" t="s">
        <v>11</v>
      </c>
      <c r="C78" s="68" t="s">
        <v>61</v>
      </c>
      <c r="D78" s="69" t="s">
        <v>269</v>
      </c>
      <c r="E78" s="69">
        <v>8</v>
      </c>
      <c r="F78" s="69"/>
      <c r="G78" s="126">
        <v>2143.5</v>
      </c>
      <c r="H78" s="70">
        <v>41932</v>
      </c>
      <c r="I78" s="70">
        <v>41974</v>
      </c>
      <c r="J78" s="91" t="s">
        <v>173</v>
      </c>
      <c r="K78" s="91" t="s">
        <v>123</v>
      </c>
      <c r="L78" s="71">
        <f t="shared" si="16"/>
        <v>1553794.51</v>
      </c>
      <c r="M78" s="72">
        <v>1532359.51</v>
      </c>
      <c r="N78" s="72">
        <v>10</v>
      </c>
      <c r="O78" s="72">
        <f t="shared" si="15"/>
        <v>21435</v>
      </c>
      <c r="P78" s="72">
        <f t="shared" si="17"/>
        <v>17148</v>
      </c>
      <c r="Q78" s="71">
        <f t="shared" si="18"/>
        <v>60018</v>
      </c>
      <c r="R78" s="72">
        <v>38583</v>
      </c>
      <c r="S78" s="71">
        <f t="shared" si="19"/>
        <v>1517685.5299999998</v>
      </c>
      <c r="T78" s="72">
        <v>1378043.3399999999</v>
      </c>
      <c r="U78" s="78">
        <f>139642.19</f>
        <v>139642.19</v>
      </c>
      <c r="V78" s="76"/>
      <c r="W78" s="76">
        <f t="shared" si="20"/>
        <v>36108.980000000214</v>
      </c>
      <c r="X78" s="114">
        <f t="shared" si="21"/>
        <v>1517685.5299999998</v>
      </c>
      <c r="Y78" s="50">
        <f t="shared" si="22"/>
        <v>125480.49</v>
      </c>
      <c r="Z78" s="10">
        <f t="shared" si="23"/>
        <v>17148</v>
      </c>
      <c r="AA78" s="53">
        <f t="shared" si="14"/>
        <v>120036</v>
      </c>
    </row>
    <row r="79" spans="1:27" s="10" customFormat="1" ht="30" customHeight="1">
      <c r="A79" s="111">
        <v>77</v>
      </c>
      <c r="B79" s="68" t="s">
        <v>11</v>
      </c>
      <c r="C79" s="68" t="s">
        <v>65</v>
      </c>
      <c r="D79" s="69" t="s">
        <v>266</v>
      </c>
      <c r="E79" s="69">
        <v>8</v>
      </c>
      <c r="F79" s="69"/>
      <c r="G79" s="116">
        <v>3213.7</v>
      </c>
      <c r="H79" s="70">
        <v>41911</v>
      </c>
      <c r="I79" s="70">
        <v>41974</v>
      </c>
      <c r="J79" s="74" t="s">
        <v>307</v>
      </c>
      <c r="K79" s="91" t="s">
        <v>138</v>
      </c>
      <c r="L79" s="71">
        <f t="shared" si="16"/>
        <v>2356195.2200000002</v>
      </c>
      <c r="M79" s="72">
        <v>2324058.2200000002</v>
      </c>
      <c r="N79" s="72">
        <v>10</v>
      </c>
      <c r="O79" s="72">
        <f t="shared" si="15"/>
        <v>32137</v>
      </c>
      <c r="P79" s="72">
        <f t="shared" si="17"/>
        <v>25709.599999999999</v>
      </c>
      <c r="Q79" s="71">
        <f t="shared" si="18"/>
        <v>89983.6</v>
      </c>
      <c r="R79" s="72">
        <v>57846.6</v>
      </c>
      <c r="S79" s="71">
        <f t="shared" si="19"/>
        <v>2160875.52</v>
      </c>
      <c r="T79" s="72">
        <v>2016559.59</v>
      </c>
      <c r="U79" s="78">
        <v>144315.93</v>
      </c>
      <c r="V79" s="76"/>
      <c r="W79" s="76">
        <f t="shared" si="20"/>
        <v>195319.70000000019</v>
      </c>
      <c r="X79" s="114">
        <f t="shared" si="21"/>
        <v>2160875.52</v>
      </c>
      <c r="Y79" s="50">
        <f t="shared" si="22"/>
        <v>188129.99799999999</v>
      </c>
      <c r="Z79" s="10">
        <f t="shared" si="23"/>
        <v>25709.599999999999</v>
      </c>
      <c r="AA79" s="53">
        <f t="shared" si="14"/>
        <v>179967.19999999998</v>
      </c>
    </row>
    <row r="80" spans="1:27" s="10" customFormat="1" ht="30" customHeight="1">
      <c r="A80" s="111">
        <v>79</v>
      </c>
      <c r="B80" s="68" t="s">
        <v>11</v>
      </c>
      <c r="C80" s="68" t="s">
        <v>62</v>
      </c>
      <c r="D80" s="69" t="s">
        <v>266</v>
      </c>
      <c r="E80" s="69">
        <v>8</v>
      </c>
      <c r="F80" s="69"/>
      <c r="G80" s="122">
        <v>4614.2</v>
      </c>
      <c r="H80" s="70">
        <v>41913</v>
      </c>
      <c r="I80" s="70">
        <v>41974</v>
      </c>
      <c r="J80" s="91" t="s">
        <v>174</v>
      </c>
      <c r="K80" s="91" t="s">
        <v>125</v>
      </c>
      <c r="L80" s="71">
        <f t="shared" si="16"/>
        <v>3447098.97</v>
      </c>
      <c r="M80" s="72">
        <v>3400956.97</v>
      </c>
      <c r="N80" s="72">
        <v>10</v>
      </c>
      <c r="O80" s="72">
        <f t="shared" si="15"/>
        <v>46142</v>
      </c>
      <c r="P80" s="72">
        <f t="shared" si="17"/>
        <v>36913.599999999999</v>
      </c>
      <c r="Q80" s="71">
        <f t="shared" si="18"/>
        <v>129197.6</v>
      </c>
      <c r="R80" s="72">
        <v>83055.600000000006</v>
      </c>
      <c r="S80" s="71">
        <f t="shared" si="19"/>
        <v>3618850.37</v>
      </c>
      <c r="T80" s="72">
        <v>3323395.93</v>
      </c>
      <c r="U80" s="77">
        <f>295454.44</f>
        <v>295454.44</v>
      </c>
      <c r="V80" s="76"/>
      <c r="W80" s="76">
        <f t="shared" si="20"/>
        <v>-171751.39999999991</v>
      </c>
      <c r="X80" s="114">
        <f t="shared" si="21"/>
        <v>3618850.37</v>
      </c>
      <c r="Y80" s="50">
        <f t="shared" si="22"/>
        <v>270115.26799999998</v>
      </c>
      <c r="Z80" s="10">
        <f t="shared" si="23"/>
        <v>36913.599999999999</v>
      </c>
      <c r="AA80" s="53">
        <f t="shared" si="14"/>
        <v>258395.19999999998</v>
      </c>
    </row>
    <row r="81" spans="1:27" s="10" customFormat="1" ht="30" customHeight="1">
      <c r="A81" s="111">
        <v>80</v>
      </c>
      <c r="B81" s="68" t="s">
        <v>11</v>
      </c>
      <c r="C81" s="68" t="s">
        <v>63</v>
      </c>
      <c r="D81" s="69" t="s">
        <v>266</v>
      </c>
      <c r="E81" s="69">
        <v>8</v>
      </c>
      <c r="F81" s="69"/>
      <c r="G81" s="115">
        <v>4386.5</v>
      </c>
      <c r="H81" s="70">
        <v>41957</v>
      </c>
      <c r="I81" s="70">
        <v>41974</v>
      </c>
      <c r="J81" s="74" t="s">
        <v>316</v>
      </c>
      <c r="K81" s="91" t="s">
        <v>138</v>
      </c>
      <c r="L81" s="71">
        <f t="shared" si="16"/>
        <v>3215480.08</v>
      </c>
      <c r="M81" s="72">
        <v>3171615.08</v>
      </c>
      <c r="N81" s="72">
        <v>10</v>
      </c>
      <c r="O81" s="72">
        <f t="shared" si="15"/>
        <v>43865</v>
      </c>
      <c r="P81" s="72">
        <f t="shared" si="17"/>
        <v>35092</v>
      </c>
      <c r="Q81" s="71">
        <f t="shared" si="18"/>
        <v>122822</v>
      </c>
      <c r="R81" s="72">
        <v>78957</v>
      </c>
      <c r="S81" s="71">
        <f t="shared" si="19"/>
        <v>3210838.81</v>
      </c>
      <c r="T81" s="72">
        <v>2950206.2800000003</v>
      </c>
      <c r="U81" s="78">
        <v>260632.53</v>
      </c>
      <c r="V81" s="76"/>
      <c r="W81" s="76">
        <f t="shared" si="20"/>
        <v>4641.2700000000186</v>
      </c>
      <c r="X81" s="114">
        <f t="shared" si="21"/>
        <v>3210838.81</v>
      </c>
      <c r="Y81" s="50">
        <f t="shared" si="22"/>
        <v>256785.71000000002</v>
      </c>
      <c r="Z81" s="10">
        <f t="shared" si="23"/>
        <v>35092</v>
      </c>
      <c r="AA81" s="53">
        <f t="shared" si="14"/>
        <v>245644</v>
      </c>
    </row>
    <row r="82" spans="1:27" s="10" customFormat="1" ht="30" customHeight="1">
      <c r="A82" s="111">
        <v>81</v>
      </c>
      <c r="B82" s="68" t="s">
        <v>11</v>
      </c>
      <c r="C82" s="68" t="s">
        <v>64</v>
      </c>
      <c r="D82" s="69" t="s">
        <v>266</v>
      </c>
      <c r="E82" s="69">
        <v>7.38</v>
      </c>
      <c r="F82" s="69"/>
      <c r="G82" s="115">
        <v>4107.0700000000006</v>
      </c>
      <c r="H82" s="70">
        <v>43066</v>
      </c>
      <c r="I82" s="70">
        <v>41974</v>
      </c>
      <c r="J82" s="91" t="s">
        <v>175</v>
      </c>
      <c r="K82" s="91" t="s">
        <v>125</v>
      </c>
      <c r="L82" s="71">
        <f t="shared" si="16"/>
        <v>2965153.8739999994</v>
      </c>
      <c r="M82" s="72">
        <v>2927286.6885999995</v>
      </c>
      <c r="N82" s="72">
        <v>9.2200000000000006</v>
      </c>
      <c r="O82" s="72">
        <f t="shared" si="15"/>
        <v>37867.185400000009</v>
      </c>
      <c r="P82" s="72">
        <f t="shared" si="17"/>
        <v>30310.176600000003</v>
      </c>
      <c r="Q82" s="71">
        <f t="shared" si="18"/>
        <v>106044.54740000001</v>
      </c>
      <c r="R82" s="72">
        <v>68177.362000000008</v>
      </c>
      <c r="S82" s="71">
        <f t="shared" si="19"/>
        <v>2914299.1500000004</v>
      </c>
      <c r="T82" s="72">
        <v>2724701.24</v>
      </c>
      <c r="U82" s="77">
        <f>189597.91</f>
        <v>189597.91</v>
      </c>
      <c r="V82" s="76">
        <v>1671373</v>
      </c>
      <c r="W82" s="76">
        <f t="shared" si="20"/>
        <v>50854.723999998998</v>
      </c>
      <c r="X82" s="114">
        <f t="shared" si="21"/>
        <v>1242926.1500000004</v>
      </c>
      <c r="Y82" s="50">
        <f t="shared" si="22"/>
        <v>240427.87780000005</v>
      </c>
      <c r="Z82" s="10">
        <f t="shared" si="23"/>
        <v>30310.176600000003</v>
      </c>
      <c r="AA82" s="53">
        <f t="shared" si="14"/>
        <v>212171.23620000001</v>
      </c>
    </row>
    <row r="83" spans="1:27" s="10" customFormat="1" ht="30" customHeight="1">
      <c r="A83" s="111">
        <v>82</v>
      </c>
      <c r="B83" s="68" t="s">
        <v>11</v>
      </c>
      <c r="C83" s="68" t="s">
        <v>292</v>
      </c>
      <c r="D83" s="69"/>
      <c r="E83" s="69">
        <v>8</v>
      </c>
      <c r="F83" s="69"/>
      <c r="G83" s="115">
        <v>10028.9</v>
      </c>
      <c r="H83" s="70">
        <v>44174</v>
      </c>
      <c r="I83" s="70">
        <v>41974</v>
      </c>
      <c r="J83" s="74" t="s">
        <v>293</v>
      </c>
      <c r="K83" s="91" t="s">
        <v>125</v>
      </c>
      <c r="L83" s="71">
        <f t="shared" si="16"/>
        <v>2996439.5900000003</v>
      </c>
      <c r="M83" s="72">
        <v>2896150.5900000003</v>
      </c>
      <c r="N83" s="72">
        <v>10</v>
      </c>
      <c r="O83" s="72">
        <f t="shared" si="15"/>
        <v>100289</v>
      </c>
      <c r="P83" s="72">
        <f t="shared" si="17"/>
        <v>80231.199999999997</v>
      </c>
      <c r="Q83" s="71">
        <f t="shared" si="18"/>
        <v>280809.2</v>
      </c>
      <c r="R83" s="72">
        <v>180520.2</v>
      </c>
      <c r="S83" s="71">
        <f t="shared" si="19"/>
        <v>2914190.79</v>
      </c>
      <c r="T83" s="72">
        <v>2448210.9</v>
      </c>
      <c r="U83" s="78">
        <f>465979.89</f>
        <v>465979.89</v>
      </c>
      <c r="V83" s="76"/>
      <c r="W83" s="76">
        <f t="shared" si="20"/>
        <v>82248.800000000279</v>
      </c>
      <c r="X83" s="114">
        <f t="shared" si="21"/>
        <v>2914190.79</v>
      </c>
      <c r="Y83" s="50">
        <f t="shared" si="22"/>
        <v>587091.80599999998</v>
      </c>
      <c r="Z83" s="10">
        <f t="shared" si="23"/>
        <v>80231.199999999997</v>
      </c>
      <c r="AA83" s="53">
        <f t="shared" si="14"/>
        <v>561618.4</v>
      </c>
    </row>
    <row r="84" spans="1:27" s="10" customFormat="1" ht="30" customHeight="1">
      <c r="A84" s="111">
        <v>83</v>
      </c>
      <c r="B84" s="68" t="s">
        <v>11</v>
      </c>
      <c r="C84" s="68" t="s">
        <v>297</v>
      </c>
      <c r="D84" s="69" t="s">
        <v>279</v>
      </c>
      <c r="E84" s="69">
        <v>8</v>
      </c>
      <c r="F84" s="69"/>
      <c r="G84" s="115">
        <v>8974.7000000000007</v>
      </c>
      <c r="H84" s="70">
        <v>44251</v>
      </c>
      <c r="I84" s="70">
        <v>41974</v>
      </c>
      <c r="J84" s="74" t="s">
        <v>298</v>
      </c>
      <c r="K84" s="91" t="s">
        <v>125</v>
      </c>
      <c r="L84" s="71">
        <f t="shared" si="16"/>
        <v>2388425.8520000004</v>
      </c>
      <c r="M84" s="72">
        <v>2298678.8520000004</v>
      </c>
      <c r="N84" s="72">
        <v>10</v>
      </c>
      <c r="O84" s="72">
        <f t="shared" si="15"/>
        <v>89747</v>
      </c>
      <c r="P84" s="72">
        <f t="shared" si="17"/>
        <v>71797.600000000006</v>
      </c>
      <c r="Q84" s="71">
        <f t="shared" si="18"/>
        <v>251291.6</v>
      </c>
      <c r="R84" s="72">
        <v>161544.6</v>
      </c>
      <c r="S84" s="71">
        <f t="shared" si="19"/>
        <v>2565609.5</v>
      </c>
      <c r="T84" s="72">
        <v>2209438.0499999998</v>
      </c>
      <c r="U84" s="76">
        <v>356171.45</v>
      </c>
      <c r="V84" s="76"/>
      <c r="W84" s="76">
        <f t="shared" si="20"/>
        <v>-177183.64799999958</v>
      </c>
      <c r="X84" s="114">
        <f t="shared" si="21"/>
        <v>2565609.5</v>
      </c>
      <c r="Y84" s="50">
        <f t="shared" si="22"/>
        <v>525378.93800000008</v>
      </c>
      <c r="Z84" s="10">
        <f t="shared" si="23"/>
        <v>71797.600000000006</v>
      </c>
      <c r="AA84" s="53">
        <f t="shared" si="14"/>
        <v>502583.20000000007</v>
      </c>
    </row>
    <row r="85" spans="1:27" s="10" customFormat="1" ht="30" customHeight="1">
      <c r="A85" s="111">
        <v>84</v>
      </c>
      <c r="B85" s="68" t="s">
        <v>11</v>
      </c>
      <c r="C85" s="68" t="s">
        <v>66</v>
      </c>
      <c r="D85" s="69" t="s">
        <v>279</v>
      </c>
      <c r="E85" s="69">
        <v>8</v>
      </c>
      <c r="F85" s="69"/>
      <c r="G85" s="115">
        <v>15921.76</v>
      </c>
      <c r="H85" s="70">
        <v>41943</v>
      </c>
      <c r="I85" s="70">
        <v>41974</v>
      </c>
      <c r="J85" s="91" t="s">
        <v>176</v>
      </c>
      <c r="K85" s="91" t="s">
        <v>125</v>
      </c>
      <c r="L85" s="71">
        <f t="shared" si="16"/>
        <v>11297572.801200002</v>
      </c>
      <c r="M85" s="72">
        <v>11138355.201200003</v>
      </c>
      <c r="N85" s="72">
        <v>10</v>
      </c>
      <c r="O85" s="72">
        <f t="shared" si="15"/>
        <v>159217.60000000001</v>
      </c>
      <c r="P85" s="72">
        <f t="shared" si="17"/>
        <v>127374.08</v>
      </c>
      <c r="Q85" s="71">
        <f t="shared" si="18"/>
        <v>445809.28</v>
      </c>
      <c r="R85" s="72">
        <v>286591.68</v>
      </c>
      <c r="S85" s="71">
        <f t="shared" si="19"/>
        <v>12005722.640000001</v>
      </c>
      <c r="T85" s="72">
        <v>11150080.460000001</v>
      </c>
      <c r="U85" s="77">
        <f>855642.18</f>
        <v>855642.18</v>
      </c>
      <c r="V85" s="76">
        <v>2108517.54</v>
      </c>
      <c r="W85" s="76">
        <f t="shared" si="20"/>
        <v>-708149.83879999816</v>
      </c>
      <c r="X85" s="114">
        <f t="shared" si="21"/>
        <v>9897205.1000000015</v>
      </c>
      <c r="Y85" s="50">
        <f t="shared" si="22"/>
        <v>932059.83039999998</v>
      </c>
      <c r="Z85" s="10">
        <f t="shared" si="23"/>
        <v>127374.08</v>
      </c>
      <c r="AA85" s="53">
        <f t="shared" si="14"/>
        <v>891618.56</v>
      </c>
    </row>
    <row r="86" spans="1:27" s="10" customFormat="1" ht="30" customHeight="1">
      <c r="A86" s="111">
        <v>85</v>
      </c>
      <c r="B86" s="68" t="s">
        <v>11</v>
      </c>
      <c r="C86" s="68" t="s">
        <v>67</v>
      </c>
      <c r="D86" s="69" t="s">
        <v>274</v>
      </c>
      <c r="E86" s="69">
        <v>8</v>
      </c>
      <c r="F86" s="69"/>
      <c r="G86" s="115">
        <v>4337</v>
      </c>
      <c r="H86" s="70">
        <v>41914</v>
      </c>
      <c r="I86" s="70">
        <v>41974</v>
      </c>
      <c r="J86" s="91" t="s">
        <v>177</v>
      </c>
      <c r="K86" s="91" t="s">
        <v>125</v>
      </c>
      <c r="L86" s="71">
        <f t="shared" si="16"/>
        <v>3143431.7600000012</v>
      </c>
      <c r="M86" s="72">
        <v>3100061.7600000012</v>
      </c>
      <c r="N86" s="72">
        <v>10</v>
      </c>
      <c r="O86" s="72">
        <f t="shared" si="15"/>
        <v>43370</v>
      </c>
      <c r="P86" s="72">
        <f t="shared" si="17"/>
        <v>34696</v>
      </c>
      <c r="Q86" s="71">
        <f t="shared" si="18"/>
        <v>121436</v>
      </c>
      <c r="R86" s="72">
        <v>78066</v>
      </c>
      <c r="S86" s="71">
        <f t="shared" si="19"/>
        <v>3139745.96</v>
      </c>
      <c r="T86" s="72">
        <v>2957656.91</v>
      </c>
      <c r="U86" s="77">
        <f>182089.05</f>
        <v>182089.05</v>
      </c>
      <c r="V86" s="76">
        <v>1433137.53</v>
      </c>
      <c r="W86" s="76">
        <f t="shared" si="20"/>
        <v>3685.8000000012107</v>
      </c>
      <c r="X86" s="114">
        <f t="shared" si="21"/>
        <v>1706608.43</v>
      </c>
      <c r="Y86" s="50">
        <f t="shared" si="22"/>
        <v>253887.98</v>
      </c>
      <c r="Z86" s="10">
        <f t="shared" si="23"/>
        <v>34696</v>
      </c>
      <c r="AA86" s="53">
        <f t="shared" si="14"/>
        <v>242872</v>
      </c>
    </row>
    <row r="87" spans="1:27" s="10" customFormat="1" ht="30" customHeight="1">
      <c r="A87" s="111">
        <v>86</v>
      </c>
      <c r="B87" s="68" t="s">
        <v>11</v>
      </c>
      <c r="C87" s="68" t="s">
        <v>252</v>
      </c>
      <c r="D87" s="69" t="s">
        <v>280</v>
      </c>
      <c r="E87" s="69">
        <v>7.38</v>
      </c>
      <c r="F87" s="69"/>
      <c r="G87" s="91">
        <v>3090.4</v>
      </c>
      <c r="H87" s="70">
        <v>43755</v>
      </c>
      <c r="I87" s="70">
        <v>41974</v>
      </c>
      <c r="J87" s="91" t="s">
        <v>253</v>
      </c>
      <c r="K87" s="91" t="s">
        <v>125</v>
      </c>
      <c r="L87" s="71">
        <f t="shared" si="16"/>
        <v>2127709.8759999997</v>
      </c>
      <c r="M87" s="72">
        <v>2099216.3879999998</v>
      </c>
      <c r="N87" s="72">
        <v>9.2200000000000006</v>
      </c>
      <c r="O87" s="72">
        <f t="shared" si="15"/>
        <v>28493.488000000001</v>
      </c>
      <c r="P87" s="72">
        <f t="shared" si="17"/>
        <v>22807.152000000002</v>
      </c>
      <c r="Q87" s="71">
        <f t="shared" si="18"/>
        <v>79794.127999999997</v>
      </c>
      <c r="R87" s="72">
        <v>51300.639999999999</v>
      </c>
      <c r="S87" s="71">
        <f t="shared" si="19"/>
        <v>1974204.08</v>
      </c>
      <c r="T87" s="72">
        <v>1883819.62</v>
      </c>
      <c r="U87" s="77">
        <f>61899.82+28484.64</f>
        <v>90384.459999999992</v>
      </c>
      <c r="V87" s="76">
        <v>1186771</v>
      </c>
      <c r="W87" s="76">
        <f t="shared" si="20"/>
        <v>153505.79599999962</v>
      </c>
      <c r="X87" s="114">
        <f t="shared" si="21"/>
        <v>787433.08000000007</v>
      </c>
      <c r="Y87" s="50">
        <f t="shared" si="22"/>
        <v>180912.016</v>
      </c>
      <c r="Z87" s="10">
        <f t="shared" si="23"/>
        <v>22807.152000000002</v>
      </c>
      <c r="AA87" s="53">
        <f t="shared" si="14"/>
        <v>159650.06400000001</v>
      </c>
    </row>
    <row r="88" spans="1:27" s="10" customFormat="1" ht="30" customHeight="1">
      <c r="A88" s="111">
        <v>87</v>
      </c>
      <c r="B88" s="68" t="s">
        <v>11</v>
      </c>
      <c r="C88" s="68" t="s">
        <v>359</v>
      </c>
      <c r="D88" s="69" t="s">
        <v>361</v>
      </c>
      <c r="E88" s="69">
        <v>8</v>
      </c>
      <c r="F88" s="69"/>
      <c r="G88" s="91">
        <v>8519.1</v>
      </c>
      <c r="H88" s="70">
        <v>45096</v>
      </c>
      <c r="I88" s="70">
        <v>41974</v>
      </c>
      <c r="J88" s="74" t="s">
        <v>360</v>
      </c>
      <c r="K88" s="91" t="s">
        <v>125</v>
      </c>
      <c r="L88" s="71">
        <f t="shared" si="16"/>
        <v>5409762.5399999991</v>
      </c>
      <c r="M88" s="72">
        <v>5324571.5399999991</v>
      </c>
      <c r="N88" s="72">
        <v>10</v>
      </c>
      <c r="O88" s="72">
        <f t="shared" si="15"/>
        <v>85191</v>
      </c>
      <c r="P88" s="72">
        <f t="shared" si="17"/>
        <v>68152.800000000003</v>
      </c>
      <c r="Q88" s="71">
        <f t="shared" si="18"/>
        <v>238534.8</v>
      </c>
      <c r="R88" s="72">
        <v>153343.79999999999</v>
      </c>
      <c r="S88" s="71">
        <f t="shared" si="19"/>
        <v>4991623.33</v>
      </c>
      <c r="T88" s="72">
        <v>4574177.12</v>
      </c>
      <c r="U88" s="78">
        <v>417446.21</v>
      </c>
      <c r="V88" s="76"/>
      <c r="W88" s="76">
        <f t="shared" si="20"/>
        <v>418139.20999999903</v>
      </c>
      <c r="X88" s="114">
        <f t="shared" si="21"/>
        <v>4991623.33</v>
      </c>
      <c r="Y88" s="50">
        <f t="shared" si="22"/>
        <v>498708.11400000006</v>
      </c>
      <c r="Z88" s="10">
        <f t="shared" si="23"/>
        <v>68152.800000000003</v>
      </c>
      <c r="AA88" s="53">
        <f t="shared" si="14"/>
        <v>477069.60000000003</v>
      </c>
    </row>
    <row r="89" spans="1:27" s="10" customFormat="1" ht="30" customHeight="1">
      <c r="A89" s="111">
        <v>88</v>
      </c>
      <c r="B89" s="68" t="s">
        <v>11</v>
      </c>
      <c r="C89" s="92" t="s">
        <v>387</v>
      </c>
      <c r="D89" s="92"/>
      <c r="E89" s="92">
        <v>8</v>
      </c>
      <c r="F89" s="92"/>
      <c r="G89" s="131">
        <v>5552.5</v>
      </c>
      <c r="H89" s="96">
        <v>45316</v>
      </c>
      <c r="I89" s="70">
        <v>41974</v>
      </c>
      <c r="J89" s="132" t="s">
        <v>388</v>
      </c>
      <c r="K89" s="92" t="s">
        <v>125</v>
      </c>
      <c r="L89" s="76">
        <f t="shared" si="16"/>
        <v>4501243.13</v>
      </c>
      <c r="M89" s="133">
        <v>4445718.13</v>
      </c>
      <c r="N89" s="133">
        <v>10</v>
      </c>
      <c r="O89" s="133">
        <f>N89*G89</f>
        <v>55525</v>
      </c>
      <c r="P89" s="133">
        <f>G89*E89</f>
        <v>44420</v>
      </c>
      <c r="Q89" s="76">
        <f t="shared" si="18"/>
        <v>155470</v>
      </c>
      <c r="R89" s="133">
        <v>99945</v>
      </c>
      <c r="S89" s="76">
        <v>3635884.6</v>
      </c>
      <c r="T89" s="134">
        <v>0</v>
      </c>
      <c r="U89" s="78">
        <v>122993.43</v>
      </c>
      <c r="V89" s="76"/>
      <c r="W89" s="76">
        <f t="shared" si="20"/>
        <v>865358.5299999998</v>
      </c>
      <c r="X89" s="114">
        <f t="shared" si="21"/>
        <v>3635884.6</v>
      </c>
      <c r="Y89" s="50"/>
      <c r="AA89" s="53"/>
    </row>
    <row r="90" spans="1:27" s="10" customFormat="1" ht="30" customHeight="1">
      <c r="A90" s="111">
        <v>89</v>
      </c>
      <c r="B90" s="68" t="s">
        <v>11</v>
      </c>
      <c r="C90" s="68" t="s">
        <v>376</v>
      </c>
      <c r="D90" s="69" t="s">
        <v>340</v>
      </c>
      <c r="E90" s="69">
        <v>8</v>
      </c>
      <c r="F90" s="69"/>
      <c r="G90" s="68">
        <v>5891</v>
      </c>
      <c r="H90" s="70">
        <v>45113</v>
      </c>
      <c r="I90" s="70">
        <v>41974</v>
      </c>
      <c r="J90" s="74" t="s">
        <v>377</v>
      </c>
      <c r="K90" s="91" t="s">
        <v>125</v>
      </c>
      <c r="L90" s="71">
        <f t="shared" si="16"/>
        <v>294785.64</v>
      </c>
      <c r="M90" s="119">
        <v>235875.63999999998</v>
      </c>
      <c r="N90" s="72">
        <v>10</v>
      </c>
      <c r="O90" s="72">
        <f t="shared" si="15"/>
        <v>58910</v>
      </c>
      <c r="P90" s="72">
        <f t="shared" si="17"/>
        <v>47128</v>
      </c>
      <c r="Q90" s="71">
        <f t="shared" si="18"/>
        <v>164948</v>
      </c>
      <c r="R90" s="72">
        <v>106038</v>
      </c>
      <c r="S90" s="71">
        <f t="shared" si="19"/>
        <v>426359.56</v>
      </c>
      <c r="T90" s="72">
        <v>219556.7</v>
      </c>
      <c r="U90" s="77">
        <f>206802.86</f>
        <v>206802.86</v>
      </c>
      <c r="V90" s="76"/>
      <c r="W90" s="76">
        <f t="shared" si="20"/>
        <v>-131573.91999999998</v>
      </c>
      <c r="X90" s="114">
        <f t="shared" si="21"/>
        <v>426359.56</v>
      </c>
      <c r="Y90" s="50">
        <f t="shared" si="22"/>
        <v>344859.14</v>
      </c>
      <c r="AA90" s="53"/>
    </row>
    <row r="91" spans="1:27" s="10" customFormat="1" ht="30" customHeight="1">
      <c r="A91" s="111">
        <v>90</v>
      </c>
      <c r="B91" s="68" t="s">
        <v>11</v>
      </c>
      <c r="C91" s="68" t="s">
        <v>68</v>
      </c>
      <c r="D91" s="69" t="s">
        <v>266</v>
      </c>
      <c r="E91" s="69">
        <v>8</v>
      </c>
      <c r="F91" s="69"/>
      <c r="G91" s="126">
        <v>21580.97</v>
      </c>
      <c r="H91" s="70">
        <v>41913</v>
      </c>
      <c r="I91" s="70">
        <v>41974</v>
      </c>
      <c r="J91" s="91" t="s">
        <v>178</v>
      </c>
      <c r="K91" s="91" t="s">
        <v>125</v>
      </c>
      <c r="L91" s="71">
        <f t="shared" si="16"/>
        <v>15798895.279999997</v>
      </c>
      <c r="M91" s="72">
        <v>15583085.579999998</v>
      </c>
      <c r="N91" s="72">
        <v>10</v>
      </c>
      <c r="O91" s="72">
        <f t="shared" si="15"/>
        <v>215809.7</v>
      </c>
      <c r="P91" s="72">
        <f t="shared" si="17"/>
        <v>172647.76</v>
      </c>
      <c r="Q91" s="71">
        <f t="shared" si="18"/>
        <v>604267.16</v>
      </c>
      <c r="R91" s="72">
        <v>388457.46</v>
      </c>
      <c r="S91" s="71">
        <f t="shared" si="19"/>
        <v>14795411.999999998</v>
      </c>
      <c r="T91" s="72">
        <v>13936599.389999999</v>
      </c>
      <c r="U91" s="77">
        <f>633203.8+225608.81</f>
        <v>858812.6100000001</v>
      </c>
      <c r="V91" s="76">
        <f>9892218+4010762.38</f>
        <v>13902980.379999999</v>
      </c>
      <c r="W91" s="76">
        <f t="shared" si="20"/>
        <v>1003483.2799999993</v>
      </c>
      <c r="X91" s="114">
        <f t="shared" si="21"/>
        <v>892431.61999999918</v>
      </c>
      <c r="Y91" s="50">
        <f t="shared" si="22"/>
        <v>1263349.9838</v>
      </c>
      <c r="Z91" s="10">
        <f t="shared" si="23"/>
        <v>172647.76</v>
      </c>
      <c r="AA91" s="53">
        <f t="shared" si="14"/>
        <v>1208534.32</v>
      </c>
    </row>
    <row r="92" spans="1:27" s="10" customFormat="1" ht="30" customHeight="1">
      <c r="A92" s="111">
        <v>91</v>
      </c>
      <c r="B92" s="68" t="s">
        <v>11</v>
      </c>
      <c r="C92" s="68" t="s">
        <v>69</v>
      </c>
      <c r="D92" s="69" t="s">
        <v>266</v>
      </c>
      <c r="E92" s="69">
        <v>8</v>
      </c>
      <c r="F92" s="69"/>
      <c r="G92" s="126">
        <v>6461.3</v>
      </c>
      <c r="H92" s="70">
        <v>41913</v>
      </c>
      <c r="I92" s="70">
        <v>41974</v>
      </c>
      <c r="J92" s="91" t="s">
        <v>179</v>
      </c>
      <c r="K92" s="91" t="s">
        <v>125</v>
      </c>
      <c r="L92" s="71">
        <f t="shared" si="16"/>
        <v>4716400.8100000005</v>
      </c>
      <c r="M92" s="72">
        <v>4651787.8100000005</v>
      </c>
      <c r="N92" s="72">
        <v>10</v>
      </c>
      <c r="O92" s="72">
        <f t="shared" si="15"/>
        <v>64613</v>
      </c>
      <c r="P92" s="72">
        <f t="shared" si="17"/>
        <v>51690.400000000001</v>
      </c>
      <c r="Q92" s="71">
        <f t="shared" si="18"/>
        <v>180916.4</v>
      </c>
      <c r="R92" s="72">
        <v>116303.4</v>
      </c>
      <c r="S92" s="71">
        <f t="shared" si="19"/>
        <v>4473781.75</v>
      </c>
      <c r="T92" s="72">
        <v>4148251.27</v>
      </c>
      <c r="U92" s="77">
        <f>200106.16+125424.32</f>
        <v>325530.48</v>
      </c>
      <c r="V92" s="76">
        <v>2440996</v>
      </c>
      <c r="W92" s="76">
        <f t="shared" si="20"/>
        <v>242619.06000000052</v>
      </c>
      <c r="X92" s="114">
        <f t="shared" si="21"/>
        <v>2032785.75</v>
      </c>
      <c r="Y92" s="50">
        <f t="shared" si="22"/>
        <v>378244.50200000004</v>
      </c>
      <c r="Z92" s="10">
        <f t="shared" si="23"/>
        <v>51690.400000000001</v>
      </c>
      <c r="AA92" s="53">
        <f t="shared" si="14"/>
        <v>361832.8</v>
      </c>
    </row>
    <row r="93" spans="1:27" s="10" customFormat="1" ht="30" customHeight="1">
      <c r="A93" s="111">
        <v>92</v>
      </c>
      <c r="B93" s="68" t="s">
        <v>11</v>
      </c>
      <c r="C93" s="68" t="s">
        <v>345</v>
      </c>
      <c r="D93" s="69" t="s">
        <v>266</v>
      </c>
      <c r="E93" s="69">
        <v>8</v>
      </c>
      <c r="F93" s="69"/>
      <c r="G93" s="126">
        <v>17401.91</v>
      </c>
      <c r="H93" s="70">
        <v>44853</v>
      </c>
      <c r="I93" s="70">
        <v>41974</v>
      </c>
      <c r="J93" s="74" t="s">
        <v>346</v>
      </c>
      <c r="K93" s="91" t="s">
        <v>125</v>
      </c>
      <c r="L93" s="71">
        <f t="shared" si="16"/>
        <v>12768592.289999995</v>
      </c>
      <c r="M93" s="72">
        <v>12594573.189999996</v>
      </c>
      <c r="N93" s="72">
        <v>10</v>
      </c>
      <c r="O93" s="72">
        <f t="shared" si="15"/>
        <v>174019.1</v>
      </c>
      <c r="P93" s="72">
        <f t="shared" si="17"/>
        <v>139215.28</v>
      </c>
      <c r="Q93" s="71">
        <f t="shared" si="18"/>
        <v>487253.48</v>
      </c>
      <c r="R93" s="72">
        <v>313234.38</v>
      </c>
      <c r="S93" s="71">
        <f t="shared" si="19"/>
        <v>13137253.459999999</v>
      </c>
      <c r="T93" s="72">
        <v>12131725.619999999</v>
      </c>
      <c r="U93" s="77">
        <f>1005527.84</f>
        <v>1005527.84</v>
      </c>
      <c r="V93" s="76"/>
      <c r="W93" s="76">
        <f t="shared" si="20"/>
        <v>-368661.17000000365</v>
      </c>
      <c r="X93" s="114">
        <f t="shared" si="21"/>
        <v>13137253.459999999</v>
      </c>
      <c r="Y93" s="50"/>
      <c r="AA93" s="53"/>
    </row>
    <row r="94" spans="1:27" s="10" customFormat="1" ht="30" customHeight="1">
      <c r="A94" s="111">
        <v>93</v>
      </c>
      <c r="B94" s="68" t="s">
        <v>11</v>
      </c>
      <c r="C94" s="68" t="s">
        <v>391</v>
      </c>
      <c r="D94" s="69"/>
      <c r="E94" s="69">
        <v>7.38</v>
      </c>
      <c r="F94" s="69"/>
      <c r="G94" s="126">
        <v>4551.8999999999996</v>
      </c>
      <c r="H94" s="70">
        <v>45316</v>
      </c>
      <c r="I94" s="70">
        <v>41974</v>
      </c>
      <c r="J94" s="74" t="s">
        <v>153</v>
      </c>
      <c r="K94" s="91" t="s">
        <v>125</v>
      </c>
      <c r="L94" s="71">
        <v>3253138.19</v>
      </c>
      <c r="M94" s="72">
        <v>3253138.19</v>
      </c>
      <c r="N94" s="72">
        <v>9.2200000000000006</v>
      </c>
      <c r="O94" s="72">
        <f t="shared" si="15"/>
        <v>41968.517999999996</v>
      </c>
      <c r="P94" s="72">
        <f t="shared" si="17"/>
        <v>33593.021999999997</v>
      </c>
      <c r="Q94" s="71">
        <f t="shared" si="18"/>
        <v>117530.05799999999</v>
      </c>
      <c r="R94" s="72">
        <v>75561.539999999994</v>
      </c>
      <c r="S94" s="71">
        <f>U94</f>
        <v>3264402.61</v>
      </c>
      <c r="T94" s="72">
        <f>3125472.08</f>
        <v>3125472.08</v>
      </c>
      <c r="U94" s="78">
        <f>3264402.61</f>
        <v>3264402.61</v>
      </c>
      <c r="V94" s="76"/>
      <c r="W94" s="76">
        <f t="shared" si="20"/>
        <v>-11264.419999999925</v>
      </c>
      <c r="X94" s="114">
        <f>S94-V94</f>
        <v>3264402.61</v>
      </c>
      <c r="Y94" s="50"/>
      <c r="AA94" s="53"/>
    </row>
    <row r="95" spans="1:27" s="10" customFormat="1" ht="30" customHeight="1">
      <c r="A95" s="111">
        <v>94</v>
      </c>
      <c r="B95" s="68" t="s">
        <v>11</v>
      </c>
      <c r="C95" s="68" t="s">
        <v>73</v>
      </c>
      <c r="D95" s="69" t="s">
        <v>266</v>
      </c>
      <c r="E95" s="69">
        <v>8</v>
      </c>
      <c r="F95" s="69"/>
      <c r="G95" s="115">
        <v>6597.3</v>
      </c>
      <c r="H95" s="70">
        <v>41907</v>
      </c>
      <c r="I95" s="70">
        <v>41974</v>
      </c>
      <c r="J95" s="91" t="s">
        <v>184</v>
      </c>
      <c r="K95" s="91" t="s">
        <v>125</v>
      </c>
      <c r="L95" s="71">
        <f t="shared" si="16"/>
        <v>4836727.7100000009</v>
      </c>
      <c r="M95" s="72">
        <v>4770754.7100000009</v>
      </c>
      <c r="N95" s="72">
        <v>10</v>
      </c>
      <c r="O95" s="72">
        <f t="shared" si="15"/>
        <v>65973</v>
      </c>
      <c r="P95" s="72">
        <f t="shared" si="17"/>
        <v>52778.400000000001</v>
      </c>
      <c r="Q95" s="71">
        <f t="shared" si="18"/>
        <v>184724.4</v>
      </c>
      <c r="R95" s="72">
        <v>118751.4</v>
      </c>
      <c r="S95" s="71">
        <f t="shared" si="19"/>
        <v>4708908.55</v>
      </c>
      <c r="T95" s="72">
        <v>4197411.5999999996</v>
      </c>
      <c r="U95" s="77">
        <v>511496.95</v>
      </c>
      <c r="V95" s="76"/>
      <c r="W95" s="76">
        <f t="shared" si="20"/>
        <v>127819.16000000108</v>
      </c>
      <c r="X95" s="114">
        <f t="shared" si="21"/>
        <v>4708908.55</v>
      </c>
      <c r="Y95" s="50">
        <f t="shared" ref="Y95:Y159" si="24">(6.3*G95)+(6.53*G95*8)</f>
        <v>386205.94200000004</v>
      </c>
      <c r="Z95" s="10">
        <f t="shared" ref="Z95:Z129" si="25">E95*G95</f>
        <v>52778.400000000001</v>
      </c>
      <c r="AA95" s="53">
        <f t="shared" ref="AA95:AA129" si="26">E95*G95*7</f>
        <v>369448.8</v>
      </c>
    </row>
    <row r="96" spans="1:27" s="10" customFormat="1" ht="30" customHeight="1">
      <c r="A96" s="111">
        <v>95</v>
      </c>
      <c r="B96" s="68" t="s">
        <v>11</v>
      </c>
      <c r="C96" s="68" t="s">
        <v>74</v>
      </c>
      <c r="D96" s="69" t="s">
        <v>266</v>
      </c>
      <c r="E96" s="69">
        <v>7.38</v>
      </c>
      <c r="F96" s="69"/>
      <c r="G96" s="115">
        <v>5151.3999999999996</v>
      </c>
      <c r="H96" s="70">
        <v>41908</v>
      </c>
      <c r="I96" s="70">
        <v>41974</v>
      </c>
      <c r="J96" s="91" t="s">
        <v>185</v>
      </c>
      <c r="K96" s="91" t="s">
        <v>125</v>
      </c>
      <c r="L96" s="71">
        <f t="shared" si="16"/>
        <v>3690748.7099999995</v>
      </c>
      <c r="M96" s="72">
        <v>3643252.8019999997</v>
      </c>
      <c r="N96" s="72">
        <v>9.2200000000000006</v>
      </c>
      <c r="O96" s="72">
        <f t="shared" si="15"/>
        <v>47495.908000000003</v>
      </c>
      <c r="P96" s="72">
        <f t="shared" si="17"/>
        <v>38017.331999999995</v>
      </c>
      <c r="Q96" s="71">
        <f t="shared" si="18"/>
        <v>133009.14799999999</v>
      </c>
      <c r="R96" s="72">
        <v>85513.239999999991</v>
      </c>
      <c r="S96" s="71">
        <f t="shared" si="19"/>
        <v>3644982.34</v>
      </c>
      <c r="T96" s="72">
        <v>3340848.1</v>
      </c>
      <c r="U96" s="77">
        <f>304134.24</f>
        <v>304134.24</v>
      </c>
      <c r="V96" s="76"/>
      <c r="W96" s="76">
        <f t="shared" si="20"/>
        <v>45766.369999999646</v>
      </c>
      <c r="X96" s="114">
        <f t="shared" si="21"/>
        <v>3644982.34</v>
      </c>
      <c r="Y96" s="50">
        <f t="shared" si="24"/>
        <v>301562.95600000001</v>
      </c>
      <c r="Z96" s="10">
        <f t="shared" si="25"/>
        <v>38017.331999999995</v>
      </c>
      <c r="AA96" s="53">
        <f t="shared" si="26"/>
        <v>266121.32399999996</v>
      </c>
    </row>
    <row r="97" spans="1:27" s="10" customFormat="1" ht="30" customHeight="1">
      <c r="A97" s="111">
        <v>96</v>
      </c>
      <c r="B97" s="68" t="s">
        <v>11</v>
      </c>
      <c r="C97" s="68" t="s">
        <v>75</v>
      </c>
      <c r="D97" s="69" t="s">
        <v>266</v>
      </c>
      <c r="E97" s="69">
        <v>8</v>
      </c>
      <c r="F97" s="69"/>
      <c r="G97" s="115">
        <v>4568.8999999999996</v>
      </c>
      <c r="H97" s="70">
        <v>41908</v>
      </c>
      <c r="I97" s="70">
        <v>41974</v>
      </c>
      <c r="J97" s="91" t="s">
        <v>186</v>
      </c>
      <c r="K97" s="91" t="s">
        <v>125</v>
      </c>
      <c r="L97" s="71">
        <f t="shared" si="16"/>
        <v>3349186.0000000005</v>
      </c>
      <c r="M97" s="72">
        <v>3303497.0000000005</v>
      </c>
      <c r="N97" s="72">
        <v>10</v>
      </c>
      <c r="O97" s="72">
        <f t="shared" si="15"/>
        <v>45689</v>
      </c>
      <c r="P97" s="72">
        <f t="shared" si="17"/>
        <v>36551.199999999997</v>
      </c>
      <c r="Q97" s="71">
        <f t="shared" si="18"/>
        <v>127929.2</v>
      </c>
      <c r="R97" s="72">
        <v>82240.2</v>
      </c>
      <c r="S97" s="71">
        <f t="shared" si="19"/>
        <v>3244209.81</v>
      </c>
      <c r="T97" s="72">
        <v>2950735.11</v>
      </c>
      <c r="U97" s="77">
        <f>293474.7</f>
        <v>293474.7</v>
      </c>
      <c r="V97" s="76"/>
      <c r="W97" s="76">
        <f t="shared" si="20"/>
        <v>104976.19000000041</v>
      </c>
      <c r="X97" s="114">
        <f t="shared" si="21"/>
        <v>3244209.81</v>
      </c>
      <c r="Y97" s="50">
        <f t="shared" si="24"/>
        <v>267463.40599999996</v>
      </c>
      <c r="Z97" s="10">
        <f t="shared" si="25"/>
        <v>36551.199999999997</v>
      </c>
      <c r="AA97" s="53">
        <f t="shared" si="26"/>
        <v>255858.39999999997</v>
      </c>
    </row>
    <row r="98" spans="1:27" s="10" customFormat="1" ht="30" customHeight="1">
      <c r="A98" s="111">
        <v>97</v>
      </c>
      <c r="B98" s="68" t="s">
        <v>11</v>
      </c>
      <c r="C98" s="68" t="s">
        <v>70</v>
      </c>
      <c r="D98" s="69" t="s">
        <v>266</v>
      </c>
      <c r="E98" s="69">
        <v>8</v>
      </c>
      <c r="F98" s="69"/>
      <c r="G98" s="135">
        <v>2012.6</v>
      </c>
      <c r="H98" s="70">
        <v>41914</v>
      </c>
      <c r="I98" s="70">
        <v>41974</v>
      </c>
      <c r="J98" s="91" t="s">
        <v>181</v>
      </c>
      <c r="K98" s="91" t="s">
        <v>125</v>
      </c>
      <c r="L98" s="71">
        <f t="shared" si="16"/>
        <v>1475316.8800000001</v>
      </c>
      <c r="M98" s="72">
        <v>1455190.8800000001</v>
      </c>
      <c r="N98" s="72">
        <v>10</v>
      </c>
      <c r="O98" s="72">
        <f t="shared" si="15"/>
        <v>20126</v>
      </c>
      <c r="P98" s="72">
        <f t="shared" si="17"/>
        <v>16100.8</v>
      </c>
      <c r="Q98" s="71">
        <f t="shared" si="18"/>
        <v>56352.800000000003</v>
      </c>
      <c r="R98" s="72">
        <v>36226.800000000003</v>
      </c>
      <c r="S98" s="71">
        <f t="shared" si="19"/>
        <v>1516140.99</v>
      </c>
      <c r="T98" s="72">
        <v>1406003.02</v>
      </c>
      <c r="U98" s="77">
        <f>110137.97</f>
        <v>110137.97</v>
      </c>
      <c r="V98" s="76"/>
      <c r="W98" s="76">
        <f t="shared" si="20"/>
        <v>-40824.10999999987</v>
      </c>
      <c r="X98" s="114">
        <f>S98-V98</f>
        <v>1516140.99</v>
      </c>
      <c r="Y98" s="50">
        <f t="shared" si="24"/>
        <v>117817.60400000001</v>
      </c>
      <c r="Z98" s="10">
        <f t="shared" si="25"/>
        <v>16100.8</v>
      </c>
      <c r="AA98" s="53">
        <f t="shared" si="26"/>
        <v>112705.59999999999</v>
      </c>
    </row>
    <row r="99" spans="1:27" s="10" customFormat="1" ht="30" customHeight="1">
      <c r="A99" s="111">
        <v>98</v>
      </c>
      <c r="B99" s="68" t="s">
        <v>11</v>
      </c>
      <c r="C99" s="68" t="s">
        <v>71</v>
      </c>
      <c r="D99" s="69" t="s">
        <v>266</v>
      </c>
      <c r="E99" s="69">
        <v>8</v>
      </c>
      <c r="F99" s="69"/>
      <c r="G99" s="115">
        <v>2017.3</v>
      </c>
      <c r="H99" s="70">
        <v>41919</v>
      </c>
      <c r="I99" s="70">
        <v>41974</v>
      </c>
      <c r="J99" s="91" t="s">
        <v>182</v>
      </c>
      <c r="K99" s="91" t="s">
        <v>125</v>
      </c>
      <c r="L99" s="71">
        <f t="shared" si="16"/>
        <v>1478761.9999999998</v>
      </c>
      <c r="M99" s="72">
        <v>1458588.9999999998</v>
      </c>
      <c r="N99" s="72">
        <v>10</v>
      </c>
      <c r="O99" s="72">
        <f t="shared" si="15"/>
        <v>20173</v>
      </c>
      <c r="P99" s="72">
        <f t="shared" si="17"/>
        <v>16138.4</v>
      </c>
      <c r="Q99" s="71">
        <f t="shared" si="18"/>
        <v>56484.4</v>
      </c>
      <c r="R99" s="72">
        <v>36311.4</v>
      </c>
      <c r="S99" s="71">
        <f t="shared" si="19"/>
        <v>1305091.7199999997</v>
      </c>
      <c r="T99" s="72">
        <v>1151705.8399999999</v>
      </c>
      <c r="U99" s="78">
        <f>153385.88</f>
        <v>153385.88</v>
      </c>
      <c r="V99" s="76"/>
      <c r="W99" s="76">
        <f t="shared" si="20"/>
        <v>173670.28000000003</v>
      </c>
      <c r="X99" s="114">
        <f>S99-V99</f>
        <v>1305091.7199999997</v>
      </c>
      <c r="Y99" s="50">
        <f t="shared" si="24"/>
        <v>118092.74200000001</v>
      </c>
      <c r="Z99" s="10">
        <f t="shared" si="25"/>
        <v>16138.4</v>
      </c>
      <c r="AA99" s="53">
        <f t="shared" si="26"/>
        <v>112968.8</v>
      </c>
    </row>
    <row r="100" spans="1:27" s="10" customFormat="1" ht="30" customHeight="1">
      <c r="A100" s="111">
        <v>99</v>
      </c>
      <c r="B100" s="68" t="s">
        <v>11</v>
      </c>
      <c r="C100" s="68" t="s">
        <v>72</v>
      </c>
      <c r="D100" s="69" t="s">
        <v>266</v>
      </c>
      <c r="E100" s="69">
        <v>7.38</v>
      </c>
      <c r="F100" s="69"/>
      <c r="G100" s="115">
        <v>3624.2</v>
      </c>
      <c r="H100" s="70">
        <v>41905</v>
      </c>
      <c r="I100" s="70">
        <v>41974</v>
      </c>
      <c r="J100" s="91" t="s">
        <v>183</v>
      </c>
      <c r="K100" s="91" t="s">
        <v>125</v>
      </c>
      <c r="L100" s="71">
        <f t="shared" si="16"/>
        <v>2591156.3499999996</v>
      </c>
      <c r="M100" s="72">
        <v>2557741.2259999998</v>
      </c>
      <c r="N100" s="72">
        <v>9.2200000000000006</v>
      </c>
      <c r="O100" s="72">
        <f t="shared" si="15"/>
        <v>33415.124000000003</v>
      </c>
      <c r="P100" s="72">
        <f t="shared" si="17"/>
        <v>26746.595999999998</v>
      </c>
      <c r="Q100" s="71">
        <f t="shared" si="18"/>
        <v>93576.844000000012</v>
      </c>
      <c r="R100" s="72">
        <v>60161.72</v>
      </c>
      <c r="S100" s="71">
        <f t="shared" si="19"/>
        <v>2225465.46</v>
      </c>
      <c r="T100" s="72">
        <v>2065608.6199999999</v>
      </c>
      <c r="U100" s="76">
        <v>159856.84</v>
      </c>
      <c r="V100" s="76"/>
      <c r="W100" s="76">
        <f t="shared" si="20"/>
        <v>365690.88999999966</v>
      </c>
      <c r="X100" s="114">
        <f>S100-V100</f>
        <v>2225465.46</v>
      </c>
      <c r="Y100" s="50">
        <f t="shared" si="24"/>
        <v>212160.66799999998</v>
      </c>
      <c r="Z100" s="10">
        <f t="shared" si="25"/>
        <v>26746.595999999998</v>
      </c>
      <c r="AA100" s="53">
        <f t="shared" si="26"/>
        <v>187226.17199999999</v>
      </c>
    </row>
    <row r="101" spans="1:27" s="10" customFormat="1" ht="30" customHeight="1">
      <c r="A101" s="111">
        <v>100</v>
      </c>
      <c r="B101" s="68" t="s">
        <v>11</v>
      </c>
      <c r="C101" s="68" t="s">
        <v>76</v>
      </c>
      <c r="D101" s="69" t="s">
        <v>277</v>
      </c>
      <c r="E101" s="69">
        <v>7.38</v>
      </c>
      <c r="F101" s="69"/>
      <c r="G101" s="115">
        <v>3850.8</v>
      </c>
      <c r="H101" s="70">
        <v>43144</v>
      </c>
      <c r="I101" s="70">
        <v>41974</v>
      </c>
      <c r="J101" s="91" t="s">
        <v>187</v>
      </c>
      <c r="K101" s="91" t="s">
        <v>123</v>
      </c>
      <c r="L101" s="71">
        <f t="shared" si="16"/>
        <v>2730948.852</v>
      </c>
      <c r="M101" s="72">
        <v>2695444.4759999998</v>
      </c>
      <c r="N101" s="72">
        <v>9.2200000000000006</v>
      </c>
      <c r="O101" s="72">
        <f t="shared" si="15"/>
        <v>35504.376000000004</v>
      </c>
      <c r="P101" s="72">
        <f t="shared" si="17"/>
        <v>28418.904000000002</v>
      </c>
      <c r="Q101" s="71">
        <f t="shared" si="18"/>
        <v>99427.656000000017</v>
      </c>
      <c r="R101" s="72">
        <v>63923.280000000006</v>
      </c>
      <c r="S101" s="71">
        <f t="shared" si="19"/>
        <v>2677448.0299999998</v>
      </c>
      <c r="T101" s="72">
        <v>2555047</v>
      </c>
      <c r="U101" s="78">
        <f>122401.03</f>
        <v>122401.03</v>
      </c>
      <c r="V101" s="76">
        <v>2071883</v>
      </c>
      <c r="W101" s="76">
        <f t="shared" si="20"/>
        <v>53500.82200000016</v>
      </c>
      <c r="X101" s="114">
        <f t="shared" si="21"/>
        <v>605565.0299999998</v>
      </c>
      <c r="Y101" s="50">
        <f t="shared" si="24"/>
        <v>225425.83200000002</v>
      </c>
      <c r="Z101" s="10">
        <f t="shared" si="25"/>
        <v>28418.904000000002</v>
      </c>
      <c r="AA101" s="53">
        <f t="shared" si="26"/>
        <v>198932.32800000001</v>
      </c>
    </row>
    <row r="102" spans="1:27" s="10" customFormat="1" ht="30" customHeight="1">
      <c r="A102" s="111">
        <v>101</v>
      </c>
      <c r="B102" s="68" t="s">
        <v>11</v>
      </c>
      <c r="C102" s="92" t="s">
        <v>301</v>
      </c>
      <c r="D102" s="92" t="s">
        <v>266</v>
      </c>
      <c r="E102" s="92">
        <v>7.38</v>
      </c>
      <c r="F102" s="92"/>
      <c r="G102" s="131">
        <v>1837.6</v>
      </c>
      <c r="H102" s="96">
        <v>44475</v>
      </c>
      <c r="I102" s="70">
        <v>41974</v>
      </c>
      <c r="J102" s="132" t="s">
        <v>303</v>
      </c>
      <c r="K102" s="92" t="s">
        <v>302</v>
      </c>
      <c r="L102" s="76">
        <f t="shared" si="16"/>
        <v>619728.45000000007</v>
      </c>
      <c r="M102" s="133">
        <v>602785.77800000005</v>
      </c>
      <c r="N102" s="133">
        <v>9.2200000000000006</v>
      </c>
      <c r="O102" s="133">
        <f t="shared" si="15"/>
        <v>16942.671999999999</v>
      </c>
      <c r="P102" s="133">
        <f t="shared" si="17"/>
        <v>13561.487999999999</v>
      </c>
      <c r="Q102" s="76">
        <f t="shared" si="18"/>
        <v>47446.831999999995</v>
      </c>
      <c r="R102" s="133">
        <v>30504.159999999996</v>
      </c>
      <c r="S102" s="76">
        <f t="shared" si="19"/>
        <v>516080.76</v>
      </c>
      <c r="T102" s="121">
        <v>477031.15</v>
      </c>
      <c r="U102" s="78">
        <f>39049.61</f>
        <v>39049.61</v>
      </c>
      <c r="V102" s="76"/>
      <c r="W102" s="76">
        <f t="shared" si="20"/>
        <v>103647.69000000006</v>
      </c>
      <c r="X102" s="114">
        <f t="shared" si="21"/>
        <v>516080.76</v>
      </c>
      <c r="Y102" s="50">
        <f t="shared" si="24"/>
        <v>107573.10400000001</v>
      </c>
      <c r="Z102" s="10">
        <f t="shared" si="25"/>
        <v>13561.487999999999</v>
      </c>
      <c r="AA102" s="53">
        <f t="shared" si="26"/>
        <v>94930.415999999997</v>
      </c>
    </row>
    <row r="103" spans="1:27" s="10" customFormat="1" ht="30" customHeight="1">
      <c r="A103" s="111">
        <v>102</v>
      </c>
      <c r="B103" s="68" t="s">
        <v>11</v>
      </c>
      <c r="C103" s="68" t="s">
        <v>77</v>
      </c>
      <c r="D103" s="69" t="s">
        <v>269</v>
      </c>
      <c r="E103" s="69">
        <v>7.38</v>
      </c>
      <c r="F103" s="69"/>
      <c r="G103" s="115">
        <v>4931.6000000000004</v>
      </c>
      <c r="H103" s="70">
        <v>41935</v>
      </c>
      <c r="I103" s="70">
        <v>41974</v>
      </c>
      <c r="J103" s="91" t="s">
        <v>188</v>
      </c>
      <c r="K103" s="91" t="s">
        <v>125</v>
      </c>
      <c r="L103" s="71">
        <f t="shared" si="16"/>
        <v>3497067.4239999983</v>
      </c>
      <c r="M103" s="72">
        <v>3451598.0719999983</v>
      </c>
      <c r="N103" s="72">
        <v>9.2200000000000006</v>
      </c>
      <c r="O103" s="72">
        <f t="shared" si="15"/>
        <v>45469.352000000006</v>
      </c>
      <c r="P103" s="72">
        <f t="shared" si="17"/>
        <v>36395.207999999999</v>
      </c>
      <c r="Q103" s="71">
        <f t="shared" si="18"/>
        <v>127333.91200000001</v>
      </c>
      <c r="R103" s="72">
        <v>81864.56</v>
      </c>
      <c r="S103" s="71">
        <f t="shared" si="19"/>
        <v>3634064.23</v>
      </c>
      <c r="T103" s="72">
        <v>3376469.63</v>
      </c>
      <c r="U103" s="77">
        <v>257594.6</v>
      </c>
      <c r="V103" s="76"/>
      <c r="W103" s="76">
        <f t="shared" si="20"/>
        <v>-136996.80600000173</v>
      </c>
      <c r="X103" s="114">
        <f t="shared" si="21"/>
        <v>3634064.23</v>
      </c>
      <c r="Y103" s="50">
        <f t="shared" si="24"/>
        <v>288695.86400000006</v>
      </c>
      <c r="Z103" s="10">
        <f t="shared" si="25"/>
        <v>36395.207999999999</v>
      </c>
      <c r="AA103" s="53">
        <f t="shared" si="26"/>
        <v>254766.45600000001</v>
      </c>
    </row>
    <row r="104" spans="1:27" s="10" customFormat="1" ht="30" customHeight="1">
      <c r="A104" s="111">
        <v>103</v>
      </c>
      <c r="B104" s="68" t="s">
        <v>11</v>
      </c>
      <c r="C104" s="68" t="s">
        <v>78</v>
      </c>
      <c r="D104" s="69" t="s">
        <v>286</v>
      </c>
      <c r="E104" s="69">
        <v>8</v>
      </c>
      <c r="F104" s="69"/>
      <c r="G104" s="126">
        <v>14841.4</v>
      </c>
      <c r="H104" s="70">
        <v>41943</v>
      </c>
      <c r="I104" s="70">
        <v>41974</v>
      </c>
      <c r="J104" s="91" t="s">
        <v>189</v>
      </c>
      <c r="K104" s="91" t="s">
        <v>125</v>
      </c>
      <c r="L104" s="71">
        <f t="shared" si="16"/>
        <v>10760608.657999998</v>
      </c>
      <c r="M104" s="72">
        <v>10612194.657999998</v>
      </c>
      <c r="N104" s="72">
        <v>10</v>
      </c>
      <c r="O104" s="72">
        <f t="shared" si="15"/>
        <v>148414</v>
      </c>
      <c r="P104" s="72">
        <f t="shared" si="17"/>
        <v>118731.2</v>
      </c>
      <c r="Q104" s="71">
        <f t="shared" si="18"/>
        <v>415559.2</v>
      </c>
      <c r="R104" s="72">
        <v>267145.2</v>
      </c>
      <c r="S104" s="71">
        <f t="shared" si="19"/>
        <v>11326641.960000001</v>
      </c>
      <c r="T104" s="72">
        <v>10626903.07</v>
      </c>
      <c r="U104" s="77">
        <f>699738.89</f>
        <v>699738.89</v>
      </c>
      <c r="V104" s="76">
        <v>3909109</v>
      </c>
      <c r="W104" s="76">
        <f t="shared" si="20"/>
        <v>-566033.30200000294</v>
      </c>
      <c r="X104" s="114">
        <f t="shared" si="21"/>
        <v>7417532.9600000009</v>
      </c>
      <c r="Y104" s="50">
        <f t="shared" si="24"/>
        <v>868815.55599999998</v>
      </c>
      <c r="Z104" s="10">
        <f t="shared" si="25"/>
        <v>118731.2</v>
      </c>
      <c r="AA104" s="53">
        <f t="shared" si="26"/>
        <v>831118.4</v>
      </c>
    </row>
    <row r="105" spans="1:27" s="10" customFormat="1" ht="30" customHeight="1">
      <c r="A105" s="111">
        <v>104</v>
      </c>
      <c r="B105" s="68" t="s">
        <v>11</v>
      </c>
      <c r="C105" s="68" t="s">
        <v>79</v>
      </c>
      <c r="D105" s="69" t="s">
        <v>266</v>
      </c>
      <c r="E105" s="69">
        <v>8</v>
      </c>
      <c r="F105" s="69"/>
      <c r="G105" s="136">
        <v>5041.8</v>
      </c>
      <c r="H105" s="94">
        <v>41999</v>
      </c>
      <c r="I105" s="70">
        <v>41974</v>
      </c>
      <c r="J105" s="117" t="s">
        <v>304</v>
      </c>
      <c r="K105" s="68" t="s">
        <v>138</v>
      </c>
      <c r="L105" s="118">
        <f t="shared" si="16"/>
        <v>3695842.1999999997</v>
      </c>
      <c r="M105" s="119">
        <v>3645424.1999999997</v>
      </c>
      <c r="N105" s="72">
        <v>10</v>
      </c>
      <c r="O105" s="72">
        <f t="shared" si="15"/>
        <v>50418</v>
      </c>
      <c r="P105" s="72">
        <f t="shared" si="17"/>
        <v>40334.400000000001</v>
      </c>
      <c r="Q105" s="118">
        <f t="shared" si="18"/>
        <v>141170.4</v>
      </c>
      <c r="R105" s="72">
        <v>90752.4</v>
      </c>
      <c r="S105" s="118">
        <f t="shared" si="19"/>
        <v>3765083.02</v>
      </c>
      <c r="T105" s="121">
        <v>3420546.39</v>
      </c>
      <c r="U105" s="78">
        <v>344536.63</v>
      </c>
      <c r="V105" s="76"/>
      <c r="W105" s="76">
        <f t="shared" si="20"/>
        <v>-69240.820000000298</v>
      </c>
      <c r="X105" s="114">
        <f t="shared" si="21"/>
        <v>3765083.02</v>
      </c>
      <c r="Y105" s="50">
        <f t="shared" si="24"/>
        <v>295146.97200000007</v>
      </c>
      <c r="Z105" s="10">
        <f t="shared" si="25"/>
        <v>40334.400000000001</v>
      </c>
      <c r="AA105" s="53">
        <f t="shared" si="26"/>
        <v>282340.8</v>
      </c>
    </row>
    <row r="106" spans="1:27" s="10" customFormat="1" ht="30" customHeight="1">
      <c r="A106" s="111">
        <v>105</v>
      </c>
      <c r="B106" s="68" t="s">
        <v>11</v>
      </c>
      <c r="C106" s="68" t="s">
        <v>80</v>
      </c>
      <c r="D106" s="69" t="s">
        <v>266</v>
      </c>
      <c r="E106" s="69">
        <v>8</v>
      </c>
      <c r="F106" s="69"/>
      <c r="G106" s="115">
        <v>1494.8</v>
      </c>
      <c r="H106" s="70">
        <v>41913</v>
      </c>
      <c r="I106" s="70">
        <v>41974</v>
      </c>
      <c r="J106" s="74" t="s">
        <v>320</v>
      </c>
      <c r="K106" s="91" t="s">
        <v>138</v>
      </c>
      <c r="L106" s="71">
        <f t="shared" si="16"/>
        <v>1095748.72</v>
      </c>
      <c r="M106" s="72">
        <v>1080800.72</v>
      </c>
      <c r="N106" s="72">
        <v>10</v>
      </c>
      <c r="O106" s="72">
        <f t="shared" si="15"/>
        <v>14948</v>
      </c>
      <c r="P106" s="72">
        <f t="shared" si="17"/>
        <v>11958.4</v>
      </c>
      <c r="Q106" s="71">
        <f t="shared" si="18"/>
        <v>41854.400000000001</v>
      </c>
      <c r="R106" s="72">
        <v>26906.400000000001</v>
      </c>
      <c r="S106" s="71">
        <f t="shared" si="19"/>
        <v>1198307.99</v>
      </c>
      <c r="T106" s="72">
        <v>1121825.49</v>
      </c>
      <c r="U106" s="78">
        <f>76482.5</f>
        <v>76482.5</v>
      </c>
      <c r="V106" s="76"/>
      <c r="W106" s="76">
        <f t="shared" si="20"/>
        <v>-102559.27000000002</v>
      </c>
      <c r="X106" s="114">
        <f t="shared" si="21"/>
        <v>1198307.99</v>
      </c>
      <c r="Y106" s="50">
        <f t="shared" si="24"/>
        <v>87505.592000000004</v>
      </c>
      <c r="Z106" s="10">
        <f t="shared" si="25"/>
        <v>11958.4</v>
      </c>
      <c r="AA106" s="53">
        <f t="shared" si="26"/>
        <v>83708.800000000003</v>
      </c>
    </row>
    <row r="107" spans="1:27" s="10" customFormat="1" ht="30" customHeight="1">
      <c r="A107" s="111">
        <v>106</v>
      </c>
      <c r="B107" s="68" t="s">
        <v>11</v>
      </c>
      <c r="C107" s="68" t="s">
        <v>81</v>
      </c>
      <c r="D107" s="69" t="s">
        <v>266</v>
      </c>
      <c r="E107" s="69">
        <v>8</v>
      </c>
      <c r="F107" s="69"/>
      <c r="G107" s="115">
        <v>1370.3</v>
      </c>
      <c r="H107" s="70">
        <v>41913</v>
      </c>
      <c r="I107" s="70">
        <v>41974</v>
      </c>
      <c r="J107" s="74" t="s">
        <v>317</v>
      </c>
      <c r="K107" s="91" t="s">
        <v>138</v>
      </c>
      <c r="L107" s="71">
        <f t="shared" si="16"/>
        <v>1004484.28</v>
      </c>
      <c r="M107" s="72">
        <v>990781.28</v>
      </c>
      <c r="N107" s="72">
        <v>10</v>
      </c>
      <c r="O107" s="72">
        <f t="shared" si="15"/>
        <v>13703</v>
      </c>
      <c r="P107" s="72">
        <f t="shared" si="17"/>
        <v>10962.4</v>
      </c>
      <c r="Q107" s="71">
        <f t="shared" si="18"/>
        <v>38368.400000000001</v>
      </c>
      <c r="R107" s="72">
        <v>24665.4</v>
      </c>
      <c r="S107" s="71">
        <f t="shared" si="19"/>
        <v>1109992.82</v>
      </c>
      <c r="T107" s="72">
        <v>1019659.73</v>
      </c>
      <c r="U107" s="78">
        <f>90333.09</f>
        <v>90333.09</v>
      </c>
      <c r="V107" s="76"/>
      <c r="W107" s="76">
        <f t="shared" si="20"/>
        <v>-105508.54000000004</v>
      </c>
      <c r="X107" s="114">
        <f t="shared" si="21"/>
        <v>1109992.82</v>
      </c>
      <c r="Y107" s="50">
        <f t="shared" si="24"/>
        <v>80217.361999999994</v>
      </c>
      <c r="Z107" s="10">
        <f t="shared" si="25"/>
        <v>10962.4</v>
      </c>
      <c r="AA107" s="53">
        <f t="shared" si="26"/>
        <v>76736.800000000003</v>
      </c>
    </row>
    <row r="108" spans="1:27" s="10" customFormat="1" ht="30" customHeight="1">
      <c r="A108" s="111">
        <v>107</v>
      </c>
      <c r="B108" s="68" t="s">
        <v>11</v>
      </c>
      <c r="C108" s="68" t="s">
        <v>82</v>
      </c>
      <c r="D108" s="69" t="s">
        <v>266</v>
      </c>
      <c r="E108" s="69">
        <v>8</v>
      </c>
      <c r="F108" s="69"/>
      <c r="G108" s="116">
        <v>1377.7</v>
      </c>
      <c r="H108" s="70">
        <v>41913</v>
      </c>
      <c r="I108" s="70">
        <v>41974</v>
      </c>
      <c r="J108" s="74" t="s">
        <v>314</v>
      </c>
      <c r="K108" s="91" t="s">
        <v>138</v>
      </c>
      <c r="L108" s="71">
        <f t="shared" si="16"/>
        <v>1000760.7699999999</v>
      </c>
      <c r="M108" s="72">
        <v>986983.7699999999</v>
      </c>
      <c r="N108" s="72">
        <v>10</v>
      </c>
      <c r="O108" s="72">
        <f t="shared" si="15"/>
        <v>13777</v>
      </c>
      <c r="P108" s="72">
        <f t="shared" si="17"/>
        <v>11021.6</v>
      </c>
      <c r="Q108" s="71">
        <f t="shared" si="18"/>
        <v>38575.599999999999</v>
      </c>
      <c r="R108" s="72">
        <v>24798.6</v>
      </c>
      <c r="S108" s="71">
        <f t="shared" si="19"/>
        <v>1111468.96</v>
      </c>
      <c r="T108" s="72">
        <v>1027920.8599999999</v>
      </c>
      <c r="U108" s="78">
        <v>83548.100000000006</v>
      </c>
      <c r="V108" s="76"/>
      <c r="W108" s="76">
        <f t="shared" si="20"/>
        <v>-110708.19000000006</v>
      </c>
      <c r="X108" s="114">
        <f t="shared" si="21"/>
        <v>1111468.96</v>
      </c>
      <c r="Y108" s="50">
        <f t="shared" si="24"/>
        <v>80650.558000000005</v>
      </c>
      <c r="Z108" s="10">
        <f t="shared" si="25"/>
        <v>11021.6</v>
      </c>
      <c r="AA108" s="53">
        <f t="shared" si="26"/>
        <v>77151.199999999997</v>
      </c>
    </row>
    <row r="109" spans="1:27" s="10" customFormat="1" ht="30" customHeight="1">
      <c r="A109" s="111">
        <v>108</v>
      </c>
      <c r="B109" s="68" t="s">
        <v>11</v>
      </c>
      <c r="C109" s="68" t="s">
        <v>83</v>
      </c>
      <c r="D109" s="69" t="s">
        <v>266</v>
      </c>
      <c r="E109" s="69">
        <v>8</v>
      </c>
      <c r="F109" s="69"/>
      <c r="G109" s="115">
        <v>1381.8000000000002</v>
      </c>
      <c r="H109" s="70">
        <v>41913</v>
      </c>
      <c r="I109" s="70">
        <v>41974</v>
      </c>
      <c r="J109" s="74" t="s">
        <v>308</v>
      </c>
      <c r="K109" s="91" t="s">
        <v>138</v>
      </c>
      <c r="L109" s="71">
        <f t="shared" si="16"/>
        <v>1011942.87</v>
      </c>
      <c r="M109" s="72">
        <v>998124.87</v>
      </c>
      <c r="N109" s="72">
        <v>10</v>
      </c>
      <c r="O109" s="72">
        <f t="shared" si="15"/>
        <v>13818.000000000002</v>
      </c>
      <c r="P109" s="72">
        <f t="shared" si="17"/>
        <v>11054.400000000001</v>
      </c>
      <c r="Q109" s="71">
        <f t="shared" si="18"/>
        <v>38690.400000000001</v>
      </c>
      <c r="R109" s="72">
        <v>24872.400000000001</v>
      </c>
      <c r="S109" s="71">
        <f t="shared" si="19"/>
        <v>1130951.77</v>
      </c>
      <c r="T109" s="72">
        <v>1036898.94</v>
      </c>
      <c r="U109" s="78">
        <f>94052.83</f>
        <v>94052.83</v>
      </c>
      <c r="V109" s="76"/>
      <c r="W109" s="76">
        <f t="shared" si="20"/>
        <v>-119008.90000000002</v>
      </c>
      <c r="X109" s="114">
        <f t="shared" si="21"/>
        <v>1130951.77</v>
      </c>
      <c r="Y109" s="50">
        <f t="shared" si="24"/>
        <v>80890.572000000015</v>
      </c>
      <c r="Z109" s="10">
        <f t="shared" si="25"/>
        <v>11054.400000000001</v>
      </c>
      <c r="AA109" s="53">
        <f t="shared" si="26"/>
        <v>77380.800000000017</v>
      </c>
    </row>
    <row r="110" spans="1:27" s="10" customFormat="1" ht="30" customHeight="1">
      <c r="A110" s="111">
        <v>109</v>
      </c>
      <c r="B110" s="68" t="s">
        <v>11</v>
      </c>
      <c r="C110" s="68" t="s">
        <v>84</v>
      </c>
      <c r="D110" s="69" t="s">
        <v>274</v>
      </c>
      <c r="E110" s="69">
        <v>8</v>
      </c>
      <c r="F110" s="69"/>
      <c r="G110" s="115">
        <v>3867.7</v>
      </c>
      <c r="H110" s="70">
        <v>41921</v>
      </c>
      <c r="I110" s="70">
        <v>41974</v>
      </c>
      <c r="J110" s="74" t="s">
        <v>321</v>
      </c>
      <c r="K110" s="91" t="s">
        <v>138</v>
      </c>
      <c r="L110" s="71">
        <f t="shared" si="16"/>
        <v>2801355.9200000004</v>
      </c>
      <c r="M110" s="72">
        <v>2762678.9200000004</v>
      </c>
      <c r="N110" s="72">
        <v>10</v>
      </c>
      <c r="O110" s="72">
        <f t="shared" si="15"/>
        <v>38677</v>
      </c>
      <c r="P110" s="72">
        <f t="shared" si="17"/>
        <v>30941.599999999999</v>
      </c>
      <c r="Q110" s="71">
        <f t="shared" si="18"/>
        <v>108295.6</v>
      </c>
      <c r="R110" s="72">
        <v>69618.600000000006</v>
      </c>
      <c r="S110" s="71">
        <f t="shared" si="19"/>
        <v>2794954.96</v>
      </c>
      <c r="T110" s="72">
        <v>2614017.7399999998</v>
      </c>
      <c r="U110" s="78">
        <v>180937.22</v>
      </c>
      <c r="V110" s="76">
        <v>1375485.36</v>
      </c>
      <c r="W110" s="76">
        <f t="shared" si="20"/>
        <v>6400.9600000004284</v>
      </c>
      <c r="X110" s="114">
        <f t="shared" si="21"/>
        <v>1419469.5999999999</v>
      </c>
      <c r="Y110" s="50">
        <f t="shared" si="24"/>
        <v>226415.158</v>
      </c>
      <c r="Z110" s="10">
        <f t="shared" si="25"/>
        <v>30941.599999999999</v>
      </c>
      <c r="AA110" s="53">
        <f t="shared" si="26"/>
        <v>216591.19999999998</v>
      </c>
    </row>
    <row r="111" spans="1:27" s="10" customFormat="1" ht="30" customHeight="1">
      <c r="A111" s="111">
        <v>110</v>
      </c>
      <c r="B111" s="68" t="s">
        <v>11</v>
      </c>
      <c r="C111" s="68" t="s">
        <v>85</v>
      </c>
      <c r="D111" s="69" t="s">
        <v>287</v>
      </c>
      <c r="E111" s="69">
        <v>8</v>
      </c>
      <c r="F111" s="69"/>
      <c r="G111" s="115">
        <v>4974.7</v>
      </c>
      <c r="H111" s="70">
        <v>41939</v>
      </c>
      <c r="I111" s="70">
        <v>41974</v>
      </c>
      <c r="J111" s="91" t="s">
        <v>190</v>
      </c>
      <c r="K111" s="91" t="s">
        <v>125</v>
      </c>
      <c r="L111" s="71">
        <f t="shared" si="16"/>
        <v>3606856.4940000004</v>
      </c>
      <c r="M111" s="72">
        <v>3557109.4940000004</v>
      </c>
      <c r="N111" s="72">
        <v>10</v>
      </c>
      <c r="O111" s="72">
        <f t="shared" si="15"/>
        <v>49747</v>
      </c>
      <c r="P111" s="72">
        <f t="shared" si="17"/>
        <v>39797.599999999999</v>
      </c>
      <c r="Q111" s="71">
        <f t="shared" si="18"/>
        <v>139291.6</v>
      </c>
      <c r="R111" s="72">
        <v>89544.6</v>
      </c>
      <c r="S111" s="71">
        <f t="shared" si="19"/>
        <v>3739295.75</v>
      </c>
      <c r="T111" s="72">
        <v>3472236.71</v>
      </c>
      <c r="U111" s="77">
        <v>267059.03999999998</v>
      </c>
      <c r="V111" s="76"/>
      <c r="W111" s="76">
        <f t="shared" si="20"/>
        <v>-132439.25599999959</v>
      </c>
      <c r="X111" s="114">
        <f t="shared" si="21"/>
        <v>3739295.75</v>
      </c>
      <c r="Y111" s="50">
        <f t="shared" si="24"/>
        <v>291218.93800000002</v>
      </c>
      <c r="Z111" s="10">
        <f t="shared" si="25"/>
        <v>39797.599999999999</v>
      </c>
      <c r="AA111" s="53">
        <f t="shared" si="26"/>
        <v>278583.2</v>
      </c>
    </row>
    <row r="112" spans="1:27" s="10" customFormat="1" ht="30" customHeight="1">
      <c r="A112" s="111">
        <v>111</v>
      </c>
      <c r="B112" s="68" t="s">
        <v>11</v>
      </c>
      <c r="C112" s="68" t="s">
        <v>236</v>
      </c>
      <c r="D112" s="69" t="s">
        <v>266</v>
      </c>
      <c r="E112" s="69">
        <v>7.38</v>
      </c>
      <c r="F112" s="69"/>
      <c r="G112" s="115">
        <v>1173.9000000000001</v>
      </c>
      <c r="H112" s="70">
        <v>43488</v>
      </c>
      <c r="I112" s="70">
        <v>41974</v>
      </c>
      <c r="J112" s="91" t="s">
        <v>239</v>
      </c>
      <c r="K112" s="91" t="s">
        <v>125</v>
      </c>
      <c r="L112" s="71">
        <f t="shared" si="16"/>
        <v>681738.16</v>
      </c>
      <c r="M112" s="72">
        <v>670914.80200000003</v>
      </c>
      <c r="N112" s="72">
        <v>9.2200000000000006</v>
      </c>
      <c r="O112" s="72">
        <f t="shared" si="15"/>
        <v>10823.358000000002</v>
      </c>
      <c r="P112" s="72">
        <f t="shared" si="17"/>
        <v>8663.3820000000014</v>
      </c>
      <c r="Q112" s="71">
        <f t="shared" si="18"/>
        <v>30310.098000000005</v>
      </c>
      <c r="R112" s="72">
        <v>19486.740000000005</v>
      </c>
      <c r="S112" s="71">
        <f t="shared" si="19"/>
        <v>683790.12</v>
      </c>
      <c r="T112" s="72">
        <v>641204.78</v>
      </c>
      <c r="U112" s="77">
        <f>31255.87+11329.47</f>
        <v>42585.34</v>
      </c>
      <c r="V112" s="76">
        <v>135514</v>
      </c>
      <c r="W112" s="76">
        <f t="shared" si="20"/>
        <v>-2051.9599999999627</v>
      </c>
      <c r="X112" s="114">
        <f t="shared" si="21"/>
        <v>548276.12</v>
      </c>
      <c r="Y112" s="50">
        <f t="shared" si="24"/>
        <v>68720.106000000014</v>
      </c>
      <c r="Z112" s="10">
        <f t="shared" si="25"/>
        <v>8663.3820000000014</v>
      </c>
      <c r="AA112" s="53">
        <f t="shared" si="26"/>
        <v>60643.674000000014</v>
      </c>
    </row>
    <row r="113" spans="1:27" s="10" customFormat="1" ht="30" customHeight="1">
      <c r="A113" s="111">
        <v>112</v>
      </c>
      <c r="B113" s="68" t="s">
        <v>11</v>
      </c>
      <c r="C113" s="68" t="s">
        <v>351</v>
      </c>
      <c r="D113" s="69" t="s">
        <v>355</v>
      </c>
      <c r="E113" s="69">
        <v>8</v>
      </c>
      <c r="F113" s="69"/>
      <c r="G113" s="112">
        <v>3418.5</v>
      </c>
      <c r="H113" s="70">
        <v>44889</v>
      </c>
      <c r="I113" s="70">
        <v>41974</v>
      </c>
      <c r="J113" s="74" t="s">
        <v>352</v>
      </c>
      <c r="K113" s="91" t="s">
        <v>125</v>
      </c>
      <c r="L113" s="71">
        <f t="shared" si="16"/>
        <v>422882.58</v>
      </c>
      <c r="M113" s="72">
        <v>388697.58</v>
      </c>
      <c r="N113" s="72">
        <v>10</v>
      </c>
      <c r="O113" s="72">
        <f t="shared" si="15"/>
        <v>34185</v>
      </c>
      <c r="P113" s="72">
        <f t="shared" si="17"/>
        <v>27348</v>
      </c>
      <c r="Q113" s="71">
        <f t="shared" si="18"/>
        <v>95718</v>
      </c>
      <c r="R113" s="72">
        <v>61533</v>
      </c>
      <c r="S113" s="71">
        <f t="shared" si="19"/>
        <v>449210.2</v>
      </c>
      <c r="T113" s="72">
        <v>324591.34000000003</v>
      </c>
      <c r="U113" s="77">
        <f>124618.86</f>
        <v>124618.86</v>
      </c>
      <c r="V113" s="76"/>
      <c r="W113" s="76">
        <f t="shared" si="20"/>
        <v>-26327.619999999995</v>
      </c>
      <c r="X113" s="114">
        <f t="shared" si="21"/>
        <v>449210.2</v>
      </c>
      <c r="Y113" s="50">
        <f t="shared" si="24"/>
        <v>200118.99</v>
      </c>
      <c r="Z113" s="10">
        <f t="shared" si="25"/>
        <v>27348</v>
      </c>
      <c r="AA113" s="53">
        <f t="shared" si="26"/>
        <v>191436</v>
      </c>
    </row>
    <row r="114" spans="1:27" s="10" customFormat="1" ht="30" customHeight="1">
      <c r="A114" s="111">
        <v>113</v>
      </c>
      <c r="B114" s="68" t="s">
        <v>11</v>
      </c>
      <c r="C114" s="68" t="s">
        <v>244</v>
      </c>
      <c r="D114" s="69" t="s">
        <v>288</v>
      </c>
      <c r="E114" s="69">
        <v>7.38</v>
      </c>
      <c r="F114" s="69"/>
      <c r="G114" s="126">
        <v>2299.6999999999998</v>
      </c>
      <c r="H114" s="70">
        <v>43565</v>
      </c>
      <c r="I114" s="70">
        <v>41974</v>
      </c>
      <c r="J114" s="91" t="s">
        <v>245</v>
      </c>
      <c r="K114" s="91" t="s">
        <v>125</v>
      </c>
      <c r="L114" s="71">
        <f t="shared" si="16"/>
        <v>1618493.4540000013</v>
      </c>
      <c r="M114" s="72">
        <v>1597290.2200000014</v>
      </c>
      <c r="N114" s="72">
        <v>9.2200000000000006</v>
      </c>
      <c r="O114" s="72">
        <f t="shared" si="15"/>
        <v>21203.234</v>
      </c>
      <c r="P114" s="72">
        <f t="shared" si="17"/>
        <v>16971.786</v>
      </c>
      <c r="Q114" s="71">
        <f t="shared" si="18"/>
        <v>59378.254000000001</v>
      </c>
      <c r="R114" s="72">
        <v>38175.020000000004</v>
      </c>
      <c r="S114" s="71">
        <f t="shared" si="19"/>
        <v>1563898.56</v>
      </c>
      <c r="T114" s="72">
        <v>1498759.9300000002</v>
      </c>
      <c r="U114" s="77">
        <f>46435.68+18702.95</f>
        <v>65138.630000000005</v>
      </c>
      <c r="V114" s="76">
        <v>1187634.3700000001</v>
      </c>
      <c r="W114" s="76">
        <f t="shared" si="20"/>
        <v>54594.894000001252</v>
      </c>
      <c r="X114" s="114">
        <f t="shared" si="21"/>
        <v>376264.18999999994</v>
      </c>
      <c r="Y114" s="50">
        <f t="shared" si="24"/>
        <v>134624.43799999999</v>
      </c>
      <c r="Z114" s="10">
        <f t="shared" si="25"/>
        <v>16971.786</v>
      </c>
      <c r="AA114" s="53">
        <f t="shared" si="26"/>
        <v>118802.50200000001</v>
      </c>
    </row>
    <row r="115" spans="1:27" s="10" customFormat="1" ht="30" customHeight="1">
      <c r="A115" s="111">
        <v>114</v>
      </c>
      <c r="B115" s="68" t="s">
        <v>11</v>
      </c>
      <c r="C115" s="68" t="s">
        <v>86</v>
      </c>
      <c r="D115" s="69" t="s">
        <v>274</v>
      </c>
      <c r="E115" s="69">
        <v>8</v>
      </c>
      <c r="F115" s="69"/>
      <c r="G115" s="137">
        <v>2188.8000000000002</v>
      </c>
      <c r="H115" s="70">
        <v>41915</v>
      </c>
      <c r="I115" s="70">
        <v>41974</v>
      </c>
      <c r="J115" s="74" t="s">
        <v>309</v>
      </c>
      <c r="K115" s="91" t="s">
        <v>138</v>
      </c>
      <c r="L115" s="71">
        <f t="shared" si="16"/>
        <v>1586967.3859999992</v>
      </c>
      <c r="M115" s="72">
        <v>1565079.3859999992</v>
      </c>
      <c r="N115" s="72">
        <v>10</v>
      </c>
      <c r="O115" s="72">
        <f t="shared" si="15"/>
        <v>21888</v>
      </c>
      <c r="P115" s="72">
        <f t="shared" si="17"/>
        <v>17510.400000000001</v>
      </c>
      <c r="Q115" s="71">
        <f t="shared" si="18"/>
        <v>61286.400000000001</v>
      </c>
      <c r="R115" s="72">
        <v>39398.400000000001</v>
      </c>
      <c r="S115" s="71">
        <f t="shared" si="19"/>
        <v>1533585.56</v>
      </c>
      <c r="T115" s="72">
        <v>1404815.34</v>
      </c>
      <c r="U115" s="78">
        <v>128770.22</v>
      </c>
      <c r="V115" s="76"/>
      <c r="W115" s="76">
        <f t="shared" si="20"/>
        <v>53381.825999999186</v>
      </c>
      <c r="X115" s="114">
        <f t="shared" si="21"/>
        <v>1533585.56</v>
      </c>
      <c r="Y115" s="50">
        <f t="shared" si="24"/>
        <v>128132.35200000001</v>
      </c>
      <c r="Z115" s="10">
        <f t="shared" si="25"/>
        <v>17510.400000000001</v>
      </c>
      <c r="AA115" s="53">
        <f t="shared" si="26"/>
        <v>122572.80000000002</v>
      </c>
    </row>
    <row r="116" spans="1:27" s="10" customFormat="1" ht="30" customHeight="1">
      <c r="A116" s="111">
        <v>115</v>
      </c>
      <c r="B116" s="68" t="s">
        <v>11</v>
      </c>
      <c r="C116" s="68" t="s">
        <v>87</v>
      </c>
      <c r="D116" s="69" t="s">
        <v>269</v>
      </c>
      <c r="E116" s="69">
        <v>7.38</v>
      </c>
      <c r="F116" s="69"/>
      <c r="G116" s="137">
        <v>2772.9</v>
      </c>
      <c r="H116" s="70">
        <v>41922</v>
      </c>
      <c r="I116" s="70">
        <v>41974</v>
      </c>
      <c r="J116" s="91" t="s">
        <v>191</v>
      </c>
      <c r="K116" s="91" t="s">
        <v>125</v>
      </c>
      <c r="L116" s="71">
        <f t="shared" si="16"/>
        <v>1965997.1500000008</v>
      </c>
      <c r="M116" s="72">
        <v>1940431.0120000008</v>
      </c>
      <c r="N116" s="72">
        <v>9.2200000000000006</v>
      </c>
      <c r="O116" s="72">
        <f t="shared" si="15"/>
        <v>25566.138000000003</v>
      </c>
      <c r="P116" s="72">
        <f t="shared" si="17"/>
        <v>20464.002</v>
      </c>
      <c r="Q116" s="71">
        <f t="shared" si="18"/>
        <v>71596.278000000006</v>
      </c>
      <c r="R116" s="72">
        <v>46030.14</v>
      </c>
      <c r="S116" s="71">
        <f t="shared" si="19"/>
        <v>1527494.55</v>
      </c>
      <c r="T116" s="72">
        <v>1427941.03</v>
      </c>
      <c r="U116" s="76">
        <v>99553.52</v>
      </c>
      <c r="V116" s="76"/>
      <c r="W116" s="76">
        <f t="shared" si="20"/>
        <v>438502.60000000079</v>
      </c>
      <c r="X116" s="114">
        <f t="shared" si="21"/>
        <v>1527494.55</v>
      </c>
      <c r="Y116" s="50">
        <f t="shared" si="24"/>
        <v>162325.56599999999</v>
      </c>
      <c r="Z116" s="10">
        <f t="shared" si="25"/>
        <v>20464.002</v>
      </c>
      <c r="AA116" s="53">
        <f t="shared" si="26"/>
        <v>143248.014</v>
      </c>
    </row>
    <row r="117" spans="1:27" s="10" customFormat="1" ht="30" customHeight="1">
      <c r="A117" s="111">
        <v>116</v>
      </c>
      <c r="B117" s="68" t="s">
        <v>11</v>
      </c>
      <c r="C117" s="68" t="s">
        <v>237</v>
      </c>
      <c r="D117" s="69" t="s">
        <v>266</v>
      </c>
      <c r="E117" s="69">
        <v>8</v>
      </c>
      <c r="F117" s="69"/>
      <c r="G117" s="115">
        <v>8760.7999999999993</v>
      </c>
      <c r="H117" s="70">
        <v>43488</v>
      </c>
      <c r="I117" s="70">
        <v>41974</v>
      </c>
      <c r="J117" s="91" t="s">
        <v>240</v>
      </c>
      <c r="K117" s="91" t="s">
        <v>125</v>
      </c>
      <c r="L117" s="71">
        <f t="shared" si="16"/>
        <v>5376853.7060000021</v>
      </c>
      <c r="M117" s="72">
        <v>5289245.7060000021</v>
      </c>
      <c r="N117" s="72">
        <v>10</v>
      </c>
      <c r="O117" s="72">
        <f t="shared" si="15"/>
        <v>87608</v>
      </c>
      <c r="P117" s="72">
        <f t="shared" si="17"/>
        <v>70086.399999999994</v>
      </c>
      <c r="Q117" s="71">
        <f t="shared" si="18"/>
        <v>245302.39999999999</v>
      </c>
      <c r="R117" s="72">
        <v>157694.39999999999</v>
      </c>
      <c r="S117" s="71">
        <f t="shared" si="19"/>
        <v>5477976.4700000007</v>
      </c>
      <c r="T117" s="72">
        <v>5004594.3600000003</v>
      </c>
      <c r="U117" s="77">
        <f>334148.37+139233.74</f>
        <v>473382.11</v>
      </c>
      <c r="V117" s="76"/>
      <c r="W117" s="76">
        <f>L117-S117</f>
        <v>-101122.76399999857</v>
      </c>
      <c r="X117" s="114">
        <f>S117-V117</f>
        <v>5477976.4700000007</v>
      </c>
      <c r="Y117" s="50">
        <f t="shared" si="24"/>
        <v>512857.23199999996</v>
      </c>
      <c r="Z117" s="10">
        <f t="shared" si="25"/>
        <v>70086.399999999994</v>
      </c>
      <c r="AA117" s="53">
        <f t="shared" si="26"/>
        <v>490604.79999999993</v>
      </c>
    </row>
    <row r="118" spans="1:27" s="10" customFormat="1" ht="30" customHeight="1">
      <c r="A118" s="111">
        <v>117</v>
      </c>
      <c r="B118" s="68" t="s">
        <v>11</v>
      </c>
      <c r="C118" s="68" t="s">
        <v>88</v>
      </c>
      <c r="D118" s="69" t="s">
        <v>266</v>
      </c>
      <c r="E118" s="69">
        <v>8</v>
      </c>
      <c r="F118" s="69"/>
      <c r="G118" s="136">
        <v>4986.1000000000004</v>
      </c>
      <c r="H118" s="94">
        <v>41999</v>
      </c>
      <c r="I118" s="70">
        <v>41974</v>
      </c>
      <c r="J118" s="117" t="s">
        <v>306</v>
      </c>
      <c r="K118" s="68" t="s">
        <v>138</v>
      </c>
      <c r="L118" s="118">
        <f t="shared" si="16"/>
        <v>3307787.5559999989</v>
      </c>
      <c r="M118" s="119">
        <v>3257926.5559999989</v>
      </c>
      <c r="N118" s="72">
        <v>10</v>
      </c>
      <c r="O118" s="72">
        <f t="shared" si="15"/>
        <v>49861</v>
      </c>
      <c r="P118" s="72">
        <f t="shared" si="17"/>
        <v>39888.800000000003</v>
      </c>
      <c r="Q118" s="118">
        <f t="shared" si="18"/>
        <v>139610.79999999999</v>
      </c>
      <c r="R118" s="72">
        <v>89749.8</v>
      </c>
      <c r="S118" s="118">
        <f t="shared" si="19"/>
        <v>3683125.74</v>
      </c>
      <c r="T118" s="121">
        <v>3352283.1500000004</v>
      </c>
      <c r="U118" s="78">
        <v>330842.59000000003</v>
      </c>
      <c r="V118" s="76"/>
      <c r="W118" s="76">
        <f t="shared" si="20"/>
        <v>-375338.18400000129</v>
      </c>
      <c r="X118" s="114">
        <f t="shared" si="21"/>
        <v>3683125.74</v>
      </c>
      <c r="Y118" s="50">
        <f t="shared" si="24"/>
        <v>291886.29400000005</v>
      </c>
      <c r="Z118" s="10">
        <f t="shared" si="25"/>
        <v>39888.800000000003</v>
      </c>
      <c r="AA118" s="53">
        <f t="shared" si="26"/>
        <v>279221.60000000003</v>
      </c>
    </row>
    <row r="119" spans="1:27" s="10" customFormat="1" ht="30" customHeight="1">
      <c r="A119" s="111">
        <v>118</v>
      </c>
      <c r="B119" s="68" t="s">
        <v>11</v>
      </c>
      <c r="C119" s="68" t="s">
        <v>358</v>
      </c>
      <c r="D119" s="69" t="s">
        <v>266</v>
      </c>
      <c r="E119" s="69">
        <v>8</v>
      </c>
      <c r="F119" s="69"/>
      <c r="G119" s="115">
        <v>4968.7</v>
      </c>
      <c r="H119" s="70">
        <v>43321</v>
      </c>
      <c r="I119" s="70">
        <v>41974</v>
      </c>
      <c r="J119" s="91" t="s">
        <v>230</v>
      </c>
      <c r="K119" s="91" t="s">
        <v>125</v>
      </c>
      <c r="L119" s="71">
        <f t="shared" si="16"/>
        <v>3049490.9540000004</v>
      </c>
      <c r="M119" s="72">
        <v>2999803.9540000004</v>
      </c>
      <c r="N119" s="72">
        <v>10</v>
      </c>
      <c r="O119" s="72">
        <f t="shared" si="15"/>
        <v>49687</v>
      </c>
      <c r="P119" s="72">
        <f t="shared" si="17"/>
        <v>39749.599999999999</v>
      </c>
      <c r="Q119" s="71">
        <f t="shared" si="18"/>
        <v>139123.6</v>
      </c>
      <c r="R119" s="72">
        <v>89436.6</v>
      </c>
      <c r="S119" s="71">
        <f t="shared" si="19"/>
        <v>3185028.65</v>
      </c>
      <c r="T119" s="72">
        <v>2890065.83</v>
      </c>
      <c r="U119" s="77">
        <f>294962.82</f>
        <v>294962.82</v>
      </c>
      <c r="V119" s="76"/>
      <c r="W119" s="76">
        <f t="shared" si="20"/>
        <v>-135537.69599999953</v>
      </c>
      <c r="X119" s="114">
        <f>S119-V119</f>
        <v>3185028.65</v>
      </c>
      <c r="Y119" s="50">
        <f t="shared" si="24"/>
        <v>290867.69799999997</v>
      </c>
      <c r="Z119" s="10">
        <f t="shared" si="25"/>
        <v>39749.599999999999</v>
      </c>
      <c r="AA119" s="53">
        <f t="shared" si="26"/>
        <v>278247.2</v>
      </c>
    </row>
    <row r="120" spans="1:27" s="10" customFormat="1" ht="30" customHeight="1">
      <c r="A120" s="111">
        <v>119</v>
      </c>
      <c r="B120" s="68" t="s">
        <v>11</v>
      </c>
      <c r="C120" s="68" t="s">
        <v>89</v>
      </c>
      <c r="D120" s="69" t="s">
        <v>266</v>
      </c>
      <c r="E120" s="69">
        <v>8</v>
      </c>
      <c r="F120" s="69"/>
      <c r="G120" s="115">
        <v>13095.7</v>
      </c>
      <c r="H120" s="70">
        <v>41908</v>
      </c>
      <c r="I120" s="70">
        <v>41974</v>
      </c>
      <c r="J120" s="91" t="s">
        <v>192</v>
      </c>
      <c r="K120" s="91" t="s">
        <v>125</v>
      </c>
      <c r="L120" s="71">
        <f t="shared" si="16"/>
        <v>9592923.0800000001</v>
      </c>
      <c r="M120" s="72">
        <v>9461966.0800000001</v>
      </c>
      <c r="N120" s="72">
        <v>10</v>
      </c>
      <c r="O120" s="72">
        <f t="shared" si="15"/>
        <v>130957</v>
      </c>
      <c r="P120" s="72">
        <f t="shared" si="17"/>
        <v>104765.6</v>
      </c>
      <c r="Q120" s="71">
        <f t="shared" si="18"/>
        <v>366679.6</v>
      </c>
      <c r="R120" s="72">
        <v>235722.6</v>
      </c>
      <c r="S120" s="71">
        <f t="shared" si="19"/>
        <v>8461475.9700000007</v>
      </c>
      <c r="T120" s="72">
        <v>7959758.8200000003</v>
      </c>
      <c r="U120" s="77">
        <f>501717.15</f>
        <v>501717.15</v>
      </c>
      <c r="V120" s="76">
        <v>3902376.94</v>
      </c>
      <c r="W120" s="76">
        <f t="shared" si="20"/>
        <v>1131447.1099999994</v>
      </c>
      <c r="X120" s="114">
        <f t="shared" si="21"/>
        <v>4559099.0300000012</v>
      </c>
      <c r="Y120" s="50">
        <f t="shared" si="24"/>
        <v>766622.27800000005</v>
      </c>
      <c r="Z120" s="10">
        <f t="shared" si="25"/>
        <v>104765.6</v>
      </c>
      <c r="AA120" s="53">
        <f t="shared" si="26"/>
        <v>733359.20000000007</v>
      </c>
    </row>
    <row r="121" spans="1:27" s="10" customFormat="1" ht="30" customHeight="1">
      <c r="A121" s="111">
        <v>120</v>
      </c>
      <c r="B121" s="68" t="s">
        <v>11</v>
      </c>
      <c r="C121" s="68" t="s">
        <v>90</v>
      </c>
      <c r="D121" s="69" t="s">
        <v>266</v>
      </c>
      <c r="E121" s="69">
        <v>8</v>
      </c>
      <c r="F121" s="69"/>
      <c r="G121" s="115">
        <v>10820.2</v>
      </c>
      <c r="H121" s="70">
        <v>41906</v>
      </c>
      <c r="I121" s="70">
        <v>41974</v>
      </c>
      <c r="J121" s="91" t="s">
        <v>193</v>
      </c>
      <c r="K121" s="91" t="s">
        <v>125</v>
      </c>
      <c r="L121" s="71">
        <f t="shared" si="16"/>
        <v>7929273.7899999991</v>
      </c>
      <c r="M121" s="72">
        <v>7821071.7899999991</v>
      </c>
      <c r="N121" s="72">
        <v>10</v>
      </c>
      <c r="O121" s="72">
        <f t="shared" si="15"/>
        <v>108202</v>
      </c>
      <c r="P121" s="72">
        <f t="shared" si="17"/>
        <v>86561.600000000006</v>
      </c>
      <c r="Q121" s="71">
        <f t="shared" si="18"/>
        <v>302965.59999999998</v>
      </c>
      <c r="R121" s="72">
        <v>194763.6</v>
      </c>
      <c r="S121" s="71">
        <f t="shared" si="19"/>
        <v>7975160.3300000001</v>
      </c>
      <c r="T121" s="72">
        <v>7394098.8100000005</v>
      </c>
      <c r="U121" s="78">
        <v>581061.52</v>
      </c>
      <c r="V121" s="76"/>
      <c r="W121" s="76">
        <f t="shared" si="20"/>
        <v>-45886.540000000969</v>
      </c>
      <c r="X121" s="114">
        <f t="shared" si="21"/>
        <v>7975160.3300000001</v>
      </c>
      <c r="Y121" s="50">
        <f t="shared" si="24"/>
        <v>633414.50800000003</v>
      </c>
      <c r="Z121" s="10">
        <f t="shared" si="25"/>
        <v>86561.600000000006</v>
      </c>
      <c r="AA121" s="53">
        <f t="shared" si="26"/>
        <v>605931.20000000007</v>
      </c>
    </row>
    <row r="122" spans="1:27" s="10" customFormat="1" ht="30" customHeight="1">
      <c r="A122" s="111">
        <v>121</v>
      </c>
      <c r="B122" s="68" t="s">
        <v>11</v>
      </c>
      <c r="C122" s="68" t="s">
        <v>91</v>
      </c>
      <c r="D122" s="69" t="s">
        <v>266</v>
      </c>
      <c r="E122" s="69">
        <v>8</v>
      </c>
      <c r="F122" s="69"/>
      <c r="G122" s="115">
        <v>9352.9</v>
      </c>
      <c r="H122" s="70">
        <v>41904</v>
      </c>
      <c r="I122" s="70">
        <v>41974</v>
      </c>
      <c r="J122" s="91" t="s">
        <v>194</v>
      </c>
      <c r="K122" s="91" t="s">
        <v>125</v>
      </c>
      <c r="L122" s="71">
        <f t="shared" si="16"/>
        <v>6853842.8100000005</v>
      </c>
      <c r="M122" s="72">
        <v>6760313.8100000005</v>
      </c>
      <c r="N122" s="72">
        <v>10</v>
      </c>
      <c r="O122" s="72">
        <f t="shared" si="15"/>
        <v>93529</v>
      </c>
      <c r="P122" s="72">
        <f t="shared" si="17"/>
        <v>74823.199999999997</v>
      </c>
      <c r="Q122" s="71">
        <f t="shared" si="18"/>
        <v>261881.2</v>
      </c>
      <c r="R122" s="72">
        <v>168352.2</v>
      </c>
      <c r="S122" s="71">
        <f t="shared" si="19"/>
        <v>6854885.1100000003</v>
      </c>
      <c r="T122" s="72">
        <v>6305912.3300000001</v>
      </c>
      <c r="U122" s="78">
        <v>548972.78</v>
      </c>
      <c r="V122" s="76"/>
      <c r="W122" s="76">
        <f t="shared" si="20"/>
        <v>-1042.2999999998137</v>
      </c>
      <c r="X122" s="114">
        <f t="shared" si="21"/>
        <v>6854885.1100000003</v>
      </c>
      <c r="Y122" s="50">
        <f t="shared" si="24"/>
        <v>547518.76599999995</v>
      </c>
      <c r="Z122" s="10">
        <f t="shared" si="25"/>
        <v>74823.199999999997</v>
      </c>
      <c r="AA122" s="53">
        <f t="shared" si="26"/>
        <v>523762.39999999997</v>
      </c>
    </row>
    <row r="123" spans="1:27" s="10" customFormat="1" ht="30" customHeight="1">
      <c r="A123" s="111">
        <v>122</v>
      </c>
      <c r="B123" s="68" t="s">
        <v>11</v>
      </c>
      <c r="C123" s="68" t="s">
        <v>92</v>
      </c>
      <c r="D123" s="69" t="s">
        <v>266</v>
      </c>
      <c r="E123" s="69">
        <v>8</v>
      </c>
      <c r="F123" s="69"/>
      <c r="G123" s="115">
        <v>7097.2</v>
      </c>
      <c r="H123" s="70">
        <v>41914</v>
      </c>
      <c r="I123" s="70">
        <v>41974</v>
      </c>
      <c r="J123" s="91" t="s">
        <v>195</v>
      </c>
      <c r="K123" s="91" t="s">
        <v>125</v>
      </c>
      <c r="L123" s="71">
        <f t="shared" si="16"/>
        <v>5198252.3999999994</v>
      </c>
      <c r="M123" s="72">
        <v>5127280.3999999994</v>
      </c>
      <c r="N123" s="72">
        <v>10</v>
      </c>
      <c r="O123" s="72">
        <f t="shared" si="15"/>
        <v>70972</v>
      </c>
      <c r="P123" s="72">
        <f t="shared" si="17"/>
        <v>56777.599999999999</v>
      </c>
      <c r="Q123" s="71">
        <f t="shared" si="18"/>
        <v>198721.6</v>
      </c>
      <c r="R123" s="72">
        <v>127749.6</v>
      </c>
      <c r="S123" s="71">
        <f t="shared" si="19"/>
        <v>5232651.8100000005</v>
      </c>
      <c r="T123" s="72">
        <v>4861057.33</v>
      </c>
      <c r="U123" s="77">
        <f>259849.78+111744.7</f>
        <v>371594.48</v>
      </c>
      <c r="V123" s="76"/>
      <c r="W123" s="76">
        <f t="shared" si="20"/>
        <v>-34399.41000000108</v>
      </c>
      <c r="X123" s="114">
        <f t="shared" si="21"/>
        <v>5232651.8100000005</v>
      </c>
      <c r="Y123" s="50">
        <f t="shared" si="24"/>
        <v>415470.08799999999</v>
      </c>
      <c r="Z123" s="10">
        <f t="shared" si="25"/>
        <v>56777.599999999999</v>
      </c>
      <c r="AA123" s="53">
        <f t="shared" si="26"/>
        <v>397443.2</v>
      </c>
    </row>
    <row r="124" spans="1:27" s="10" customFormat="1" ht="30" customHeight="1">
      <c r="A124" s="111">
        <v>123</v>
      </c>
      <c r="B124" s="68" t="s">
        <v>11</v>
      </c>
      <c r="C124" s="68" t="s">
        <v>93</v>
      </c>
      <c r="D124" s="69" t="s">
        <v>266</v>
      </c>
      <c r="E124" s="69">
        <v>8</v>
      </c>
      <c r="F124" s="69"/>
      <c r="G124" s="115">
        <v>2828.2</v>
      </c>
      <c r="H124" s="70">
        <v>41919</v>
      </c>
      <c r="I124" s="70">
        <v>41974</v>
      </c>
      <c r="J124" s="91" t="s">
        <v>196</v>
      </c>
      <c r="K124" s="91" t="s">
        <v>125</v>
      </c>
      <c r="L124" s="71">
        <f t="shared" si="16"/>
        <v>2073541.7900000003</v>
      </c>
      <c r="M124" s="72">
        <v>2045259.7900000003</v>
      </c>
      <c r="N124" s="72">
        <v>10</v>
      </c>
      <c r="O124" s="72">
        <f t="shared" si="15"/>
        <v>28282</v>
      </c>
      <c r="P124" s="72">
        <f t="shared" si="17"/>
        <v>22625.599999999999</v>
      </c>
      <c r="Q124" s="71">
        <f t="shared" si="18"/>
        <v>79189.600000000006</v>
      </c>
      <c r="R124" s="72">
        <v>50907.6</v>
      </c>
      <c r="S124" s="71">
        <f t="shared" si="19"/>
        <v>2043753.72</v>
      </c>
      <c r="T124" s="72">
        <v>1740315.77</v>
      </c>
      <c r="U124" s="78">
        <f>303437.95</f>
        <v>303437.95</v>
      </c>
      <c r="V124" s="76"/>
      <c r="W124" s="76">
        <f t="shared" si="20"/>
        <v>29788.070000000298</v>
      </c>
      <c r="X124" s="114">
        <f t="shared" si="21"/>
        <v>2043753.72</v>
      </c>
      <c r="Y124" s="50">
        <f t="shared" si="24"/>
        <v>165562.82800000001</v>
      </c>
      <c r="Z124" s="10">
        <f t="shared" si="25"/>
        <v>22625.599999999999</v>
      </c>
      <c r="AA124" s="53">
        <f t="shared" si="26"/>
        <v>158379.19999999998</v>
      </c>
    </row>
    <row r="125" spans="1:27" s="10" customFormat="1" ht="30" customHeight="1">
      <c r="A125" s="111">
        <v>124</v>
      </c>
      <c r="B125" s="68" t="s">
        <v>11</v>
      </c>
      <c r="C125" s="68" t="s">
        <v>94</v>
      </c>
      <c r="D125" s="69" t="s">
        <v>266</v>
      </c>
      <c r="E125" s="69">
        <v>8</v>
      </c>
      <c r="F125" s="69"/>
      <c r="G125" s="115">
        <v>8264.3000000000011</v>
      </c>
      <c r="H125" s="70">
        <v>41908</v>
      </c>
      <c r="I125" s="70">
        <v>41974</v>
      </c>
      <c r="J125" s="91" t="s">
        <v>197</v>
      </c>
      <c r="K125" s="91" t="s">
        <v>125</v>
      </c>
      <c r="L125" s="71">
        <f t="shared" si="16"/>
        <v>6058107.2800000012</v>
      </c>
      <c r="M125" s="72">
        <v>5975464.2800000012</v>
      </c>
      <c r="N125" s="72">
        <v>10</v>
      </c>
      <c r="O125" s="72">
        <f t="shared" si="15"/>
        <v>82643.000000000015</v>
      </c>
      <c r="P125" s="72">
        <f t="shared" si="17"/>
        <v>66114.400000000009</v>
      </c>
      <c r="Q125" s="71">
        <f t="shared" si="18"/>
        <v>231400.40000000002</v>
      </c>
      <c r="R125" s="72">
        <v>148757.40000000002</v>
      </c>
      <c r="S125" s="71">
        <f t="shared" si="19"/>
        <v>5779204.0600000005</v>
      </c>
      <c r="T125" s="72">
        <v>5282573.7</v>
      </c>
      <c r="U125" s="77">
        <f>496630.36</f>
        <v>496630.36</v>
      </c>
      <c r="V125" s="76"/>
      <c r="W125" s="76">
        <f t="shared" si="20"/>
        <v>278903.22000000067</v>
      </c>
      <c r="X125" s="114">
        <f t="shared" si="21"/>
        <v>5779204.0600000005</v>
      </c>
      <c r="Y125" s="50">
        <f t="shared" si="24"/>
        <v>483792.12200000009</v>
      </c>
      <c r="Z125" s="10">
        <f t="shared" si="25"/>
        <v>66114.400000000009</v>
      </c>
      <c r="AA125" s="53">
        <f t="shared" si="26"/>
        <v>462800.80000000005</v>
      </c>
    </row>
    <row r="126" spans="1:27" s="10" customFormat="1" ht="30" customHeight="1">
      <c r="A126" s="111">
        <v>125</v>
      </c>
      <c r="B126" s="68" t="s">
        <v>11</v>
      </c>
      <c r="C126" s="68" t="s">
        <v>326</v>
      </c>
      <c r="D126" s="69" t="s">
        <v>266</v>
      </c>
      <c r="E126" s="69">
        <v>8</v>
      </c>
      <c r="F126" s="69"/>
      <c r="G126" s="115">
        <v>1870.8</v>
      </c>
      <c r="H126" s="70">
        <v>44532</v>
      </c>
      <c r="I126" s="70">
        <v>41974</v>
      </c>
      <c r="J126" s="74" t="s">
        <v>327</v>
      </c>
      <c r="K126" s="91" t="s">
        <v>125</v>
      </c>
      <c r="L126" s="71">
        <f t="shared" si="16"/>
        <v>412794.30000000005</v>
      </c>
      <c r="M126" s="72">
        <v>394086.30000000005</v>
      </c>
      <c r="N126" s="72">
        <v>10</v>
      </c>
      <c r="O126" s="72">
        <f t="shared" si="15"/>
        <v>18708</v>
      </c>
      <c r="P126" s="72">
        <f t="shared" si="17"/>
        <v>14966.4</v>
      </c>
      <c r="Q126" s="71">
        <f t="shared" si="18"/>
        <v>52382.400000000001</v>
      </c>
      <c r="R126" s="72">
        <v>33674.400000000001</v>
      </c>
      <c r="S126" s="71">
        <f t="shared" si="19"/>
        <v>347551.17</v>
      </c>
      <c r="T126" s="128">
        <v>296503.88</v>
      </c>
      <c r="U126" s="77">
        <v>51047.29</v>
      </c>
      <c r="V126" s="76"/>
      <c r="W126" s="76">
        <f t="shared" si="20"/>
        <v>65243.130000000063</v>
      </c>
      <c r="X126" s="114">
        <f t="shared" si="21"/>
        <v>347551.17</v>
      </c>
      <c r="Y126" s="50">
        <f t="shared" si="24"/>
        <v>109516.632</v>
      </c>
      <c r="Z126" s="10">
        <f t="shared" si="25"/>
        <v>14966.4</v>
      </c>
      <c r="AA126" s="53">
        <f t="shared" si="26"/>
        <v>104764.8</v>
      </c>
    </row>
    <row r="127" spans="1:27" s="10" customFormat="1" ht="30" customHeight="1">
      <c r="A127" s="111">
        <v>126</v>
      </c>
      <c r="B127" s="68" t="s">
        <v>11</v>
      </c>
      <c r="C127" s="68" t="s">
        <v>248</v>
      </c>
      <c r="D127" s="69" t="s">
        <v>266</v>
      </c>
      <c r="E127" s="69">
        <v>8</v>
      </c>
      <c r="F127" s="69"/>
      <c r="G127" s="115">
        <v>6982.2</v>
      </c>
      <c r="H127" s="70">
        <v>43649</v>
      </c>
      <c r="I127" s="70">
        <v>41974</v>
      </c>
      <c r="J127" s="91" t="s">
        <v>249</v>
      </c>
      <c r="K127" s="91" t="s">
        <v>125</v>
      </c>
      <c r="L127" s="71">
        <f t="shared" si="16"/>
        <v>5194679.4799999995</v>
      </c>
      <c r="M127" s="72">
        <v>5124857.4799999995</v>
      </c>
      <c r="N127" s="72">
        <v>10</v>
      </c>
      <c r="O127" s="72">
        <f t="shared" si="15"/>
        <v>69822</v>
      </c>
      <c r="P127" s="72">
        <f t="shared" si="17"/>
        <v>55857.599999999999</v>
      </c>
      <c r="Q127" s="71">
        <f t="shared" si="18"/>
        <v>195501.6</v>
      </c>
      <c r="R127" s="72">
        <v>125679.6</v>
      </c>
      <c r="S127" s="71">
        <f t="shared" si="19"/>
        <v>4930180.93</v>
      </c>
      <c r="T127" s="72">
        <v>4519350.0999999996</v>
      </c>
      <c r="U127" s="77">
        <f>252542.88+158287.95</f>
        <v>410830.83</v>
      </c>
      <c r="V127" s="76"/>
      <c r="W127" s="76">
        <f t="shared" si="20"/>
        <v>264498.54999999981</v>
      </c>
      <c r="X127" s="114">
        <f t="shared" si="21"/>
        <v>4930180.93</v>
      </c>
      <c r="Y127" s="50">
        <f t="shared" si="24"/>
        <v>408737.98800000001</v>
      </c>
      <c r="Z127" s="10">
        <f t="shared" si="25"/>
        <v>55857.599999999999</v>
      </c>
      <c r="AA127" s="53">
        <f t="shared" si="26"/>
        <v>391003.2</v>
      </c>
    </row>
    <row r="128" spans="1:27" s="10" customFormat="1" ht="30" customHeight="1">
      <c r="A128" s="111">
        <v>127</v>
      </c>
      <c r="B128" s="68" t="s">
        <v>11</v>
      </c>
      <c r="C128" s="68" t="s">
        <v>238</v>
      </c>
      <c r="D128" s="69" t="s">
        <v>270</v>
      </c>
      <c r="E128" s="69">
        <v>7.38</v>
      </c>
      <c r="F128" s="69"/>
      <c r="G128" s="115">
        <v>13461.5</v>
      </c>
      <c r="H128" s="70">
        <v>43462</v>
      </c>
      <c r="I128" s="70">
        <v>41974</v>
      </c>
      <c r="J128" s="91" t="s">
        <v>241</v>
      </c>
      <c r="K128" s="91" t="s">
        <v>125</v>
      </c>
      <c r="L128" s="71">
        <f t="shared" si="16"/>
        <v>9543631.769999994</v>
      </c>
      <c r="M128" s="72">
        <v>9419516.7399999946</v>
      </c>
      <c r="N128" s="72">
        <v>9.2200000000000006</v>
      </c>
      <c r="O128" s="72">
        <f t="shared" si="15"/>
        <v>124115.03000000001</v>
      </c>
      <c r="P128" s="72">
        <f t="shared" si="17"/>
        <v>99345.87</v>
      </c>
      <c r="Q128" s="71">
        <f t="shared" si="18"/>
        <v>347575.93000000005</v>
      </c>
      <c r="R128" s="72">
        <v>223460.90000000002</v>
      </c>
      <c r="S128" s="71">
        <f t="shared" si="19"/>
        <v>9066508.790000001</v>
      </c>
      <c r="T128" s="72">
        <v>8444035.9800000004</v>
      </c>
      <c r="U128" s="77">
        <f>425092.07+197380.74</f>
        <v>622472.81000000006</v>
      </c>
      <c r="V128" s="76"/>
      <c r="W128" s="76">
        <f t="shared" si="20"/>
        <v>477122.979999993</v>
      </c>
      <c r="X128" s="114">
        <f t="shared" si="21"/>
        <v>9066508.790000001</v>
      </c>
      <c r="Y128" s="50">
        <f t="shared" si="24"/>
        <v>788036.21</v>
      </c>
      <c r="Z128" s="10">
        <f t="shared" si="25"/>
        <v>99345.87</v>
      </c>
      <c r="AA128" s="53">
        <f t="shared" si="26"/>
        <v>695421.09</v>
      </c>
    </row>
    <row r="129" spans="1:28" s="10" customFormat="1" ht="30" customHeight="1">
      <c r="A129" s="111">
        <v>128</v>
      </c>
      <c r="B129" s="68" t="s">
        <v>11</v>
      </c>
      <c r="C129" s="68" t="s">
        <v>96</v>
      </c>
      <c r="D129" s="69" t="s">
        <v>270</v>
      </c>
      <c r="E129" s="69">
        <v>8</v>
      </c>
      <c r="F129" s="69"/>
      <c r="G129" s="115">
        <v>11263.3</v>
      </c>
      <c r="H129" s="70">
        <v>42956</v>
      </c>
      <c r="I129" s="70">
        <v>41974</v>
      </c>
      <c r="J129" s="74" t="s">
        <v>313</v>
      </c>
      <c r="K129" s="91" t="s">
        <v>138</v>
      </c>
      <c r="L129" s="71">
        <f t="shared" si="16"/>
        <v>7392035.1500000022</v>
      </c>
      <c r="M129" s="72">
        <v>7279402.1500000022</v>
      </c>
      <c r="N129" s="72">
        <v>10</v>
      </c>
      <c r="O129" s="72">
        <f t="shared" si="15"/>
        <v>112633</v>
      </c>
      <c r="P129" s="72">
        <f t="shared" si="17"/>
        <v>90106.4</v>
      </c>
      <c r="Q129" s="71">
        <f t="shared" si="18"/>
        <v>315372.40000000002</v>
      </c>
      <c r="R129" s="72">
        <v>202739.4</v>
      </c>
      <c r="S129" s="71">
        <f t="shared" si="19"/>
        <v>7924196.0699999994</v>
      </c>
      <c r="T129" s="72">
        <v>7231687.6099999994</v>
      </c>
      <c r="U129" s="78">
        <f>692508.46</f>
        <v>692508.46</v>
      </c>
      <c r="V129" s="76"/>
      <c r="W129" s="76">
        <f t="shared" si="20"/>
        <v>-532160.91999999713</v>
      </c>
      <c r="X129" s="114">
        <f>S129-V129</f>
        <v>7924196.0699999994</v>
      </c>
      <c r="Y129" s="50">
        <f t="shared" si="24"/>
        <v>659353.58200000005</v>
      </c>
      <c r="Z129" s="10">
        <f t="shared" si="25"/>
        <v>90106.4</v>
      </c>
      <c r="AA129" s="53">
        <f t="shared" si="26"/>
        <v>630744.79999999993</v>
      </c>
    </row>
    <row r="130" spans="1:28" s="10" customFormat="1" ht="30" customHeight="1">
      <c r="A130" s="111">
        <v>129</v>
      </c>
      <c r="B130" s="68" t="s">
        <v>11</v>
      </c>
      <c r="C130" s="68" t="s">
        <v>383</v>
      </c>
      <c r="D130" s="69" t="s">
        <v>385</v>
      </c>
      <c r="E130" s="69">
        <v>8</v>
      </c>
      <c r="F130" s="69"/>
      <c r="G130" s="115">
        <v>10481.1</v>
      </c>
      <c r="H130" s="70">
        <v>45274</v>
      </c>
      <c r="I130" s="70">
        <v>41974</v>
      </c>
      <c r="J130" s="74" t="s">
        <v>382</v>
      </c>
      <c r="K130" s="91" t="s">
        <v>125</v>
      </c>
      <c r="L130" s="71">
        <f t="shared" si="16"/>
        <v>9849836.2700000014</v>
      </c>
      <c r="M130" s="72">
        <v>9745025.2700000014</v>
      </c>
      <c r="N130" s="72">
        <v>10</v>
      </c>
      <c r="O130" s="72">
        <f t="shared" si="15"/>
        <v>104811</v>
      </c>
      <c r="P130" s="72">
        <f t="shared" si="17"/>
        <v>83848.800000000003</v>
      </c>
      <c r="Q130" s="71">
        <f t="shared" si="18"/>
        <v>293470.8</v>
      </c>
      <c r="R130" s="72">
        <v>188659.8</v>
      </c>
      <c r="S130" s="71">
        <f t="shared" si="19"/>
        <v>8001229.5600000005</v>
      </c>
      <c r="T130" s="72">
        <v>7123359.5800000001</v>
      </c>
      <c r="U130" s="77">
        <f>877869.98</f>
        <v>877869.98</v>
      </c>
      <c r="V130" s="76"/>
      <c r="W130" s="76">
        <f t="shared" si="20"/>
        <v>1848606.7100000009</v>
      </c>
      <c r="X130" s="114">
        <f>S130-V130</f>
        <v>8001229.5600000005</v>
      </c>
      <c r="Y130" s="50"/>
      <c r="AA130" s="53"/>
    </row>
    <row r="131" spans="1:28" s="10" customFormat="1" ht="30" customHeight="1">
      <c r="A131" s="111">
        <v>130</v>
      </c>
      <c r="B131" s="68" t="s">
        <v>11</v>
      </c>
      <c r="C131" s="68" t="s">
        <v>384</v>
      </c>
      <c r="D131" s="138" t="s">
        <v>385</v>
      </c>
      <c r="E131" s="69">
        <v>8</v>
      </c>
      <c r="F131" s="68"/>
      <c r="G131" s="112">
        <v>15889.2</v>
      </c>
      <c r="H131" s="94">
        <v>45274</v>
      </c>
      <c r="I131" s="70">
        <v>41974</v>
      </c>
      <c r="J131" s="117" t="s">
        <v>381</v>
      </c>
      <c r="K131" s="68" t="s">
        <v>125</v>
      </c>
      <c r="L131" s="71">
        <f t="shared" si="16"/>
        <v>4707977.13</v>
      </c>
      <c r="M131" s="72">
        <v>4549085.13</v>
      </c>
      <c r="N131" s="72">
        <v>10</v>
      </c>
      <c r="O131" s="72">
        <f t="shared" si="15"/>
        <v>158892</v>
      </c>
      <c r="P131" s="72">
        <f t="shared" si="17"/>
        <v>127113.60000000001</v>
      </c>
      <c r="Q131" s="71">
        <f t="shared" si="18"/>
        <v>444897.6</v>
      </c>
      <c r="R131" s="72">
        <v>286005.59999999998</v>
      </c>
      <c r="S131" s="76">
        <f>4210640.15</f>
        <v>4210640.1500000004</v>
      </c>
      <c r="T131" s="72">
        <v>0</v>
      </c>
      <c r="U131" s="77">
        <f>4210640.15</f>
        <v>4210640.1500000004</v>
      </c>
      <c r="V131" s="76"/>
      <c r="W131" s="76">
        <f t="shared" si="20"/>
        <v>497336.97999999952</v>
      </c>
      <c r="X131" s="114">
        <f>S131</f>
        <v>4210640.1500000004</v>
      </c>
      <c r="AA131" s="53"/>
    </row>
    <row r="132" spans="1:28" s="10" customFormat="1" ht="30" customHeight="1">
      <c r="A132" s="111">
        <v>131</v>
      </c>
      <c r="B132" s="68" t="s">
        <v>11</v>
      </c>
      <c r="C132" s="68" t="s">
        <v>95</v>
      </c>
      <c r="D132" s="69" t="s">
        <v>266</v>
      </c>
      <c r="E132" s="69">
        <v>8</v>
      </c>
      <c r="F132" s="69"/>
      <c r="G132" s="115">
        <v>20224.2</v>
      </c>
      <c r="H132" s="70">
        <v>41913</v>
      </c>
      <c r="I132" s="70">
        <v>41974</v>
      </c>
      <c r="J132" s="91" t="s">
        <v>198</v>
      </c>
      <c r="K132" s="91" t="s">
        <v>125</v>
      </c>
      <c r="L132" s="71">
        <f t="shared" ref="L132:L171" si="27">M132+O132</f>
        <v>14779420.83</v>
      </c>
      <c r="M132" s="72">
        <v>14577178.83</v>
      </c>
      <c r="N132" s="72">
        <v>10</v>
      </c>
      <c r="O132" s="72">
        <f t="shared" ref="O132:O171" si="28">N132*G132</f>
        <v>202242</v>
      </c>
      <c r="P132" s="72">
        <f t="shared" si="17"/>
        <v>161793.60000000001</v>
      </c>
      <c r="Q132" s="71">
        <f t="shared" ref="Q132:Q171" si="29">R132+O132</f>
        <v>566277.6</v>
      </c>
      <c r="R132" s="72">
        <v>364035.6</v>
      </c>
      <c r="S132" s="71">
        <f>T132+U132</f>
        <v>15622463.77</v>
      </c>
      <c r="T132" s="72">
        <v>14559690.5</v>
      </c>
      <c r="U132" s="77">
        <f>743185.21+319588.06</f>
        <v>1062773.27</v>
      </c>
      <c r="V132" s="76">
        <v>3383565.66</v>
      </c>
      <c r="W132" s="76">
        <f>L132-S132</f>
        <v>-843042.93999999948</v>
      </c>
      <c r="X132" s="114">
        <f>S132-V132</f>
        <v>12238898.109999999</v>
      </c>
      <c r="Y132" s="50">
        <f>(6.3*G132)+(6.53*G132*8)</f>
        <v>1183924.6680000001</v>
      </c>
      <c r="Z132" s="10">
        <f>E132*G132</f>
        <v>161793.60000000001</v>
      </c>
      <c r="AA132" s="53">
        <f>E132*G132*7</f>
        <v>1132555.2</v>
      </c>
    </row>
    <row r="133" spans="1:28" s="10" customFormat="1" ht="30" customHeight="1">
      <c r="A133" s="111">
        <v>132</v>
      </c>
      <c r="B133" s="68" t="s">
        <v>11</v>
      </c>
      <c r="C133" s="68" t="s">
        <v>356</v>
      </c>
      <c r="D133" s="69" t="s">
        <v>357</v>
      </c>
      <c r="E133" s="69">
        <v>7.38</v>
      </c>
      <c r="F133" s="69">
        <v>6.92</v>
      </c>
      <c r="G133" s="112">
        <v>9602.6</v>
      </c>
      <c r="H133" s="70">
        <v>44967</v>
      </c>
      <c r="I133" s="70">
        <v>41974</v>
      </c>
      <c r="J133" s="74" t="s">
        <v>166</v>
      </c>
      <c r="K133" s="91" t="s">
        <v>125</v>
      </c>
      <c r="L133" s="71">
        <f t="shared" si="27"/>
        <v>6791279.012000001</v>
      </c>
      <c r="M133" s="72">
        <v>6702743.040000001</v>
      </c>
      <c r="N133" s="72">
        <v>9.2200000000000006</v>
      </c>
      <c r="O133" s="72">
        <f t="shared" si="28"/>
        <v>88535.972000000009</v>
      </c>
      <c r="P133" s="72">
        <f t="shared" ref="P133:P171" si="30">G133*E133</f>
        <v>70867.187999999995</v>
      </c>
      <c r="Q133" s="71">
        <f t="shared" si="29"/>
        <v>247939.13200000001</v>
      </c>
      <c r="R133" s="72">
        <v>159403.16</v>
      </c>
      <c r="S133" s="71">
        <f t="shared" ref="S133:S171" si="31">T133+U133</f>
        <v>7867652.75</v>
      </c>
      <c r="T133" s="72">
        <v>7385007.5999999996</v>
      </c>
      <c r="U133" s="78">
        <f>482645.15</f>
        <v>482645.15</v>
      </c>
      <c r="V133" s="76">
        <f>2875208</f>
        <v>2875208</v>
      </c>
      <c r="W133" s="76">
        <f t="shared" si="20"/>
        <v>-1076373.737999999</v>
      </c>
      <c r="X133" s="114">
        <f t="shared" si="21"/>
        <v>4992444.75</v>
      </c>
      <c r="Y133" s="50">
        <f t="shared" si="24"/>
        <v>562136.20400000003</v>
      </c>
      <c r="AA133" s="53"/>
    </row>
    <row r="134" spans="1:28" s="10" customFormat="1" ht="30" customHeight="1">
      <c r="A134" s="111">
        <v>133</v>
      </c>
      <c r="B134" s="68" t="s">
        <v>11</v>
      </c>
      <c r="C134" s="68" t="s">
        <v>97</v>
      </c>
      <c r="D134" s="69" t="s">
        <v>281</v>
      </c>
      <c r="E134" s="69">
        <v>8</v>
      </c>
      <c r="F134" s="69"/>
      <c r="G134" s="115">
        <v>2173.8000000000002</v>
      </c>
      <c r="H134" s="70">
        <v>41914</v>
      </c>
      <c r="I134" s="70">
        <v>41974</v>
      </c>
      <c r="J134" s="91" t="s">
        <v>199</v>
      </c>
      <c r="K134" s="91" t="s">
        <v>125</v>
      </c>
      <c r="L134" s="71">
        <f t="shared" si="27"/>
        <v>1577445.2159999982</v>
      </c>
      <c r="M134" s="72">
        <v>1555707.2159999982</v>
      </c>
      <c r="N134" s="72">
        <v>10</v>
      </c>
      <c r="O134" s="72">
        <f t="shared" si="28"/>
        <v>21738</v>
      </c>
      <c r="P134" s="72">
        <f t="shared" si="30"/>
        <v>17390.400000000001</v>
      </c>
      <c r="Q134" s="71">
        <f t="shared" si="29"/>
        <v>60866.400000000001</v>
      </c>
      <c r="R134" s="72">
        <v>39128.400000000001</v>
      </c>
      <c r="S134" s="71">
        <f t="shared" si="31"/>
        <v>1560386.21</v>
      </c>
      <c r="T134" s="72">
        <v>1450154.43</v>
      </c>
      <c r="U134" s="77">
        <f>110231.78</f>
        <v>110231.78</v>
      </c>
      <c r="V134" s="76"/>
      <c r="W134" s="76">
        <f t="shared" si="20"/>
        <v>17059.00599999819</v>
      </c>
      <c r="X134" s="114">
        <f t="shared" si="21"/>
        <v>1560386.21</v>
      </c>
      <c r="Y134" s="50">
        <f t="shared" si="24"/>
        <v>127254.25200000002</v>
      </c>
      <c r="Z134" s="10">
        <f t="shared" ref="Z134:Z171" si="32">E134*G134</f>
        <v>17390.400000000001</v>
      </c>
      <c r="AA134" s="53">
        <f t="shared" ref="AA134:AA171" si="33">E134*G134*7</f>
        <v>121732.80000000002</v>
      </c>
    </row>
    <row r="135" spans="1:28" s="10" customFormat="1" ht="30" customHeight="1">
      <c r="A135" s="111">
        <v>134</v>
      </c>
      <c r="B135" s="68" t="s">
        <v>11</v>
      </c>
      <c r="C135" s="68" t="s">
        <v>98</v>
      </c>
      <c r="D135" s="69" t="s">
        <v>281</v>
      </c>
      <c r="E135" s="69">
        <v>8</v>
      </c>
      <c r="F135" s="69"/>
      <c r="G135" s="115">
        <v>2370.7800000000002</v>
      </c>
      <c r="H135" s="70">
        <v>41913</v>
      </c>
      <c r="I135" s="70">
        <v>41974</v>
      </c>
      <c r="J135" s="91" t="s">
        <v>200</v>
      </c>
      <c r="K135" s="91" t="s">
        <v>125</v>
      </c>
      <c r="L135" s="71">
        <f>M135+O135</f>
        <v>1686613.9936000009</v>
      </c>
      <c r="M135" s="72">
        <v>1662906.1936000008</v>
      </c>
      <c r="N135" s="72">
        <v>10</v>
      </c>
      <c r="O135" s="72">
        <f t="shared" si="28"/>
        <v>23707.800000000003</v>
      </c>
      <c r="P135" s="72">
        <f t="shared" si="30"/>
        <v>18966.240000000002</v>
      </c>
      <c r="Q135" s="71">
        <f t="shared" si="29"/>
        <v>66381.840000000011</v>
      </c>
      <c r="R135" s="72">
        <v>42674.040000000008</v>
      </c>
      <c r="S135" s="71">
        <f t="shared" si="31"/>
        <v>1455753.1800000002</v>
      </c>
      <c r="T135" s="72">
        <v>1354333.55</v>
      </c>
      <c r="U135" s="77">
        <f>76491.58+24928.05</f>
        <v>101419.63</v>
      </c>
      <c r="V135" s="76"/>
      <c r="W135" s="76">
        <f>L135-S135</f>
        <v>230860.81360000069</v>
      </c>
      <c r="X135" s="114">
        <f>S135-V135</f>
        <v>1455753.1800000002</v>
      </c>
      <c r="Y135" s="50">
        <f t="shared" si="24"/>
        <v>138785.46120000002</v>
      </c>
      <c r="Z135" s="10">
        <f t="shared" si="32"/>
        <v>18966.240000000002</v>
      </c>
      <c r="AA135" s="53">
        <f t="shared" si="33"/>
        <v>132763.68000000002</v>
      </c>
      <c r="AB135" s="67"/>
    </row>
    <row r="136" spans="1:28" s="10" customFormat="1" ht="30" customHeight="1">
      <c r="A136" s="111">
        <v>135</v>
      </c>
      <c r="B136" s="68" t="s">
        <v>11</v>
      </c>
      <c r="C136" s="68" t="s">
        <v>335</v>
      </c>
      <c r="D136" s="69" t="s">
        <v>270</v>
      </c>
      <c r="E136" s="69">
        <v>7.38</v>
      </c>
      <c r="F136" s="69"/>
      <c r="G136" s="112">
        <v>4635.7</v>
      </c>
      <c r="H136" s="70">
        <v>44753</v>
      </c>
      <c r="I136" s="70">
        <v>41974</v>
      </c>
      <c r="J136" s="74" t="s">
        <v>336</v>
      </c>
      <c r="K136" s="91" t="s">
        <v>125</v>
      </c>
      <c r="L136" s="71">
        <f t="shared" si="27"/>
        <v>3286443.1200000006</v>
      </c>
      <c r="M136" s="72">
        <v>3243701.9660000005</v>
      </c>
      <c r="N136" s="72">
        <v>9.2200000000000006</v>
      </c>
      <c r="O136" s="72">
        <f t="shared" si="28"/>
        <v>42741.154000000002</v>
      </c>
      <c r="P136" s="72">
        <f t="shared" si="30"/>
        <v>34211.466</v>
      </c>
      <c r="Q136" s="71">
        <f t="shared" si="29"/>
        <v>119693.774</v>
      </c>
      <c r="R136" s="72">
        <v>76952.62</v>
      </c>
      <c r="S136" s="71">
        <f t="shared" si="31"/>
        <v>3551305.86</v>
      </c>
      <c r="T136" s="72">
        <v>3304692.23</v>
      </c>
      <c r="U136" s="77">
        <f>246613.63</f>
        <v>246613.63</v>
      </c>
      <c r="V136" s="76"/>
      <c r="W136" s="76">
        <f t="shared" si="20"/>
        <v>-264862.73999999929</v>
      </c>
      <c r="X136" s="114">
        <f t="shared" si="21"/>
        <v>3551305.86</v>
      </c>
      <c r="Y136" s="50">
        <f t="shared" si="24"/>
        <v>271373.87799999997</v>
      </c>
      <c r="Z136" s="10">
        <f t="shared" si="32"/>
        <v>34211.466</v>
      </c>
      <c r="AA136" s="53">
        <f t="shared" si="33"/>
        <v>239480.26199999999</v>
      </c>
    </row>
    <row r="137" spans="1:28" s="10" customFormat="1" ht="30" customHeight="1">
      <c r="A137" s="111">
        <v>136</v>
      </c>
      <c r="B137" s="68" t="s">
        <v>11</v>
      </c>
      <c r="C137" s="68" t="s">
        <v>338</v>
      </c>
      <c r="D137" s="69" t="s">
        <v>270</v>
      </c>
      <c r="E137" s="69">
        <v>7.38</v>
      </c>
      <c r="F137" s="69"/>
      <c r="G137" s="112">
        <v>6511.8</v>
      </c>
      <c r="H137" s="70">
        <v>44753</v>
      </c>
      <c r="I137" s="70">
        <v>41974</v>
      </c>
      <c r="J137" s="74" t="s">
        <v>337</v>
      </c>
      <c r="K137" s="91" t="s">
        <v>125</v>
      </c>
      <c r="L137" s="71">
        <f t="shared" si="27"/>
        <v>4616017.4099999992</v>
      </c>
      <c r="M137" s="72">
        <v>4555978.6139999991</v>
      </c>
      <c r="N137" s="72">
        <v>9.2200000000000006</v>
      </c>
      <c r="O137" s="72">
        <f t="shared" si="28"/>
        <v>60038.796000000009</v>
      </c>
      <c r="P137" s="72">
        <f t="shared" si="30"/>
        <v>48057.084000000003</v>
      </c>
      <c r="Q137" s="71">
        <f t="shared" si="29"/>
        <v>168134.67600000001</v>
      </c>
      <c r="R137" s="72">
        <v>108095.88</v>
      </c>
      <c r="S137" s="71">
        <f t="shared" si="31"/>
        <v>4612639.21</v>
      </c>
      <c r="T137" s="72">
        <v>4290733.18</v>
      </c>
      <c r="U137" s="76">
        <v>321906.03000000003</v>
      </c>
      <c r="V137" s="76"/>
      <c r="W137" s="76">
        <f t="shared" si="20"/>
        <v>3378.1999999992549</v>
      </c>
      <c r="X137" s="114">
        <f t="shared" si="21"/>
        <v>4612639.21</v>
      </c>
      <c r="Y137" s="50">
        <f t="shared" si="24"/>
        <v>381200.772</v>
      </c>
      <c r="Z137" s="10">
        <f t="shared" si="32"/>
        <v>48057.084000000003</v>
      </c>
      <c r="AA137" s="53">
        <f t="shared" si="33"/>
        <v>336399.58799999999</v>
      </c>
    </row>
    <row r="138" spans="1:28" s="10" customFormat="1" ht="30" customHeight="1">
      <c r="A138" s="111">
        <v>137</v>
      </c>
      <c r="B138" s="68" t="s">
        <v>11</v>
      </c>
      <c r="C138" s="68" t="s">
        <v>374</v>
      </c>
      <c r="D138" s="69" t="s">
        <v>340</v>
      </c>
      <c r="E138" s="69">
        <v>8</v>
      </c>
      <c r="F138" s="69"/>
      <c r="G138" s="112">
        <v>5976.8</v>
      </c>
      <c r="H138" s="70">
        <v>45114</v>
      </c>
      <c r="I138" s="70">
        <v>41974</v>
      </c>
      <c r="J138" s="74" t="s">
        <v>375</v>
      </c>
      <c r="K138" s="91" t="s">
        <v>125</v>
      </c>
      <c r="L138" s="71">
        <f t="shared" si="27"/>
        <v>406589.99</v>
      </c>
      <c r="M138" s="72">
        <v>346821.99</v>
      </c>
      <c r="N138" s="72">
        <v>10</v>
      </c>
      <c r="O138" s="72">
        <f t="shared" si="28"/>
        <v>59768</v>
      </c>
      <c r="P138" s="72">
        <f t="shared" si="30"/>
        <v>47814.400000000001</v>
      </c>
      <c r="Q138" s="71">
        <f t="shared" si="29"/>
        <v>167350.39999999999</v>
      </c>
      <c r="R138" s="72">
        <v>107582.39999999999</v>
      </c>
      <c r="S138" s="71">
        <f>T138+U138</f>
        <v>456182.22</v>
      </c>
      <c r="T138" s="72">
        <v>211191.08</v>
      </c>
      <c r="U138" s="77">
        <f>174399.95+70591.19</f>
        <v>244991.14</v>
      </c>
      <c r="V138" s="76"/>
      <c r="W138" s="76">
        <f>L138-S138</f>
        <v>-49592.229999999981</v>
      </c>
      <c r="X138" s="114">
        <f>S138-V138</f>
        <v>456182.22</v>
      </c>
      <c r="Y138" s="50">
        <f>(6.3*G138)+(6.53*G138*8)</f>
        <v>349881.87199999997</v>
      </c>
      <c r="Z138" s="10">
        <f>E138*G138</f>
        <v>47814.400000000001</v>
      </c>
      <c r="AA138" s="53">
        <f>E138*G138*7</f>
        <v>334700.79999999999</v>
      </c>
    </row>
    <row r="139" spans="1:28" s="10" customFormat="1" ht="30" customHeight="1">
      <c r="A139" s="111">
        <v>138</v>
      </c>
      <c r="B139" s="68" t="s">
        <v>11</v>
      </c>
      <c r="C139" s="68" t="s">
        <v>390</v>
      </c>
      <c r="D139" s="69"/>
      <c r="E139" s="69">
        <v>7.38</v>
      </c>
      <c r="F139" s="69"/>
      <c r="G139" s="112">
        <v>3845.4</v>
      </c>
      <c r="H139" s="70">
        <v>45302</v>
      </c>
      <c r="I139" s="70">
        <v>41974</v>
      </c>
      <c r="J139" s="74" t="s">
        <v>180</v>
      </c>
      <c r="K139" s="91" t="s">
        <v>125</v>
      </c>
      <c r="L139" s="71">
        <v>2688184.13</v>
      </c>
      <c r="M139" s="72">
        <v>2688184.13</v>
      </c>
      <c r="N139" s="72">
        <v>9.2200000000000006</v>
      </c>
      <c r="O139" s="72">
        <f t="shared" si="28"/>
        <v>35454.588000000003</v>
      </c>
      <c r="P139" s="72">
        <f t="shared" si="30"/>
        <v>28379.052</v>
      </c>
      <c r="Q139" s="71">
        <f t="shared" si="29"/>
        <v>99288.228000000003</v>
      </c>
      <c r="R139" s="72">
        <v>63833.64</v>
      </c>
      <c r="S139" s="76">
        <f>T139+U139</f>
        <v>2680607.02</v>
      </c>
      <c r="T139" s="72">
        <v>0</v>
      </c>
      <c r="U139" s="77">
        <f>2680607.02</f>
        <v>2680607.02</v>
      </c>
      <c r="V139" s="76"/>
      <c r="W139" s="76"/>
      <c r="X139" s="114">
        <f>S139-V139</f>
        <v>2680607.02</v>
      </c>
      <c r="Y139" s="50">
        <f>(6.3*G139)+(6.53*G139*8)</f>
        <v>225109.71600000001</v>
      </c>
      <c r="Z139" s="10">
        <f>E139*G139</f>
        <v>28379.052</v>
      </c>
      <c r="AA139" s="53">
        <f>E139*G139*7</f>
        <v>198653.364</v>
      </c>
    </row>
    <row r="140" spans="1:28" s="10" customFormat="1" ht="30" customHeight="1">
      <c r="A140" s="111">
        <v>139</v>
      </c>
      <c r="B140" s="68" t="s">
        <v>11</v>
      </c>
      <c r="C140" s="68" t="s">
        <v>99</v>
      </c>
      <c r="D140" s="69" t="s">
        <v>266</v>
      </c>
      <c r="E140" s="69">
        <v>7.38</v>
      </c>
      <c r="F140" s="69"/>
      <c r="G140" s="125">
        <v>3084.1</v>
      </c>
      <c r="H140" s="70">
        <v>41935</v>
      </c>
      <c r="I140" s="70">
        <v>41974</v>
      </c>
      <c r="J140" s="91" t="s">
        <v>201</v>
      </c>
      <c r="K140" s="91" t="s">
        <v>125</v>
      </c>
      <c r="L140" s="71">
        <f t="shared" si="27"/>
        <v>2208669.9699999997</v>
      </c>
      <c r="M140" s="72">
        <v>2180234.568</v>
      </c>
      <c r="N140" s="72">
        <v>9.2200000000000006</v>
      </c>
      <c r="O140" s="72">
        <f t="shared" si="28"/>
        <v>28435.402000000002</v>
      </c>
      <c r="P140" s="72">
        <f t="shared" si="30"/>
        <v>22760.657999999999</v>
      </c>
      <c r="Q140" s="71">
        <f t="shared" si="29"/>
        <v>79631.462</v>
      </c>
      <c r="R140" s="72">
        <v>51196.06</v>
      </c>
      <c r="S140" s="71">
        <f>T140+U140</f>
        <v>2080528.94</v>
      </c>
      <c r="T140" s="72">
        <v>1938654.33</v>
      </c>
      <c r="U140" s="77">
        <v>141874.60999999999</v>
      </c>
      <c r="V140" s="76">
        <v>850901.34</v>
      </c>
      <c r="W140" s="76">
        <f>L140-S140</f>
        <v>128141.0299999998</v>
      </c>
      <c r="X140" s="114">
        <f>S140-V140</f>
        <v>1229627.6000000001</v>
      </c>
      <c r="Y140" s="50">
        <f>(6.3*G140)+(6.53*G140*8)</f>
        <v>180543.21399999998</v>
      </c>
      <c r="Z140" s="10">
        <f>E140*G140</f>
        <v>22760.657999999999</v>
      </c>
      <c r="AA140" s="53">
        <f>E140*G140*7</f>
        <v>159324.606</v>
      </c>
    </row>
    <row r="141" spans="1:28" s="10" customFormat="1" ht="30" customHeight="1">
      <c r="A141" s="111">
        <v>140</v>
      </c>
      <c r="B141" s="68" t="s">
        <v>11</v>
      </c>
      <c r="C141" s="68" t="s">
        <v>101</v>
      </c>
      <c r="D141" s="69" t="s">
        <v>266</v>
      </c>
      <c r="E141" s="69">
        <v>8</v>
      </c>
      <c r="F141" s="69"/>
      <c r="G141" s="71">
        <v>3484</v>
      </c>
      <c r="H141" s="70">
        <v>41906</v>
      </c>
      <c r="I141" s="70">
        <v>41974</v>
      </c>
      <c r="J141" s="91" t="s">
        <v>203</v>
      </c>
      <c r="K141" s="91" t="s">
        <v>125</v>
      </c>
      <c r="L141" s="71">
        <f t="shared" si="27"/>
        <v>2553912.56</v>
      </c>
      <c r="M141" s="72">
        <v>2519072.56</v>
      </c>
      <c r="N141" s="72">
        <v>10</v>
      </c>
      <c r="O141" s="72">
        <f t="shared" si="28"/>
        <v>34840</v>
      </c>
      <c r="P141" s="72">
        <f t="shared" si="30"/>
        <v>27872</v>
      </c>
      <c r="Q141" s="71">
        <f t="shared" si="29"/>
        <v>97552</v>
      </c>
      <c r="R141" s="72">
        <v>62712</v>
      </c>
      <c r="S141" s="71">
        <f t="shared" si="31"/>
        <v>2596324.7000000002</v>
      </c>
      <c r="T141" s="72">
        <v>2445693.7200000002</v>
      </c>
      <c r="U141" s="77">
        <v>150630.98000000001</v>
      </c>
      <c r="V141" s="76">
        <v>1243999.2</v>
      </c>
      <c r="W141" s="76">
        <f t="shared" ref="W141:W171" si="34">L141-S141</f>
        <v>-42412.14000000013</v>
      </c>
      <c r="X141" s="114">
        <f t="shared" si="21"/>
        <v>1352325.5000000002</v>
      </c>
      <c r="Y141" s="50">
        <f t="shared" si="24"/>
        <v>203953.36000000002</v>
      </c>
      <c r="Z141" s="10">
        <f t="shared" si="32"/>
        <v>27872</v>
      </c>
      <c r="AA141" s="53">
        <f t="shared" si="33"/>
        <v>195104</v>
      </c>
    </row>
    <row r="142" spans="1:28" s="10" customFormat="1" ht="30" customHeight="1">
      <c r="A142" s="111">
        <v>141</v>
      </c>
      <c r="B142" s="68" t="s">
        <v>11</v>
      </c>
      <c r="C142" s="68" t="s">
        <v>102</v>
      </c>
      <c r="D142" s="69" t="s">
        <v>266</v>
      </c>
      <c r="E142" s="69">
        <v>8</v>
      </c>
      <c r="F142" s="69"/>
      <c r="G142" s="71">
        <v>8283.89</v>
      </c>
      <c r="H142" s="70">
        <v>41919</v>
      </c>
      <c r="I142" s="70">
        <v>41974</v>
      </c>
      <c r="J142" s="91" t="s">
        <v>204</v>
      </c>
      <c r="K142" s="91" t="s">
        <v>125</v>
      </c>
      <c r="L142" s="71">
        <f t="shared" si="27"/>
        <v>6072157.6300000008</v>
      </c>
      <c r="M142" s="72">
        <v>5989318.7300000004</v>
      </c>
      <c r="N142" s="72">
        <v>10</v>
      </c>
      <c r="O142" s="72">
        <f t="shared" si="28"/>
        <v>82838.899999999994</v>
      </c>
      <c r="P142" s="72">
        <f t="shared" si="30"/>
        <v>66271.12</v>
      </c>
      <c r="Q142" s="71">
        <f t="shared" si="29"/>
        <v>231948.91999999998</v>
      </c>
      <c r="R142" s="72">
        <v>149110.01999999999</v>
      </c>
      <c r="S142" s="71">
        <f t="shared" si="31"/>
        <v>5587789.9399999995</v>
      </c>
      <c r="T142" s="72">
        <v>5313815.46</v>
      </c>
      <c r="U142" s="78">
        <f>273974.48</f>
        <v>273974.48</v>
      </c>
      <c r="V142" s="76">
        <v>5250158.68</v>
      </c>
      <c r="W142" s="76">
        <f t="shared" si="34"/>
        <v>484367.69000000134</v>
      </c>
      <c r="X142" s="114">
        <f t="shared" ref="X142:X171" si="35">S142-V142</f>
        <v>337631.25999999978</v>
      </c>
      <c r="Y142" s="50">
        <f t="shared" si="24"/>
        <v>484938.92059999995</v>
      </c>
      <c r="Z142" s="10">
        <f t="shared" si="32"/>
        <v>66271.12</v>
      </c>
      <c r="AA142" s="53">
        <f t="shared" si="33"/>
        <v>463897.83999999997</v>
      </c>
    </row>
    <row r="143" spans="1:28" s="10" customFormat="1" ht="30" customHeight="1">
      <c r="A143" s="111">
        <v>142</v>
      </c>
      <c r="B143" s="68" t="s">
        <v>11</v>
      </c>
      <c r="C143" s="68" t="s">
        <v>103</v>
      </c>
      <c r="D143" s="69" t="s">
        <v>266</v>
      </c>
      <c r="E143" s="69">
        <v>8</v>
      </c>
      <c r="F143" s="69"/>
      <c r="G143" s="139">
        <v>10018.200000000001</v>
      </c>
      <c r="H143" s="70">
        <v>41913</v>
      </c>
      <c r="I143" s="70">
        <v>41974</v>
      </c>
      <c r="J143" s="91" t="s">
        <v>205</v>
      </c>
      <c r="K143" s="91" t="s">
        <v>125</v>
      </c>
      <c r="L143" s="71">
        <f t="shared" si="27"/>
        <v>7343743.4399999995</v>
      </c>
      <c r="M143" s="72">
        <v>7243561.4399999995</v>
      </c>
      <c r="N143" s="72">
        <v>10</v>
      </c>
      <c r="O143" s="72">
        <f t="shared" si="28"/>
        <v>100182</v>
      </c>
      <c r="P143" s="72">
        <f t="shared" si="30"/>
        <v>80145.600000000006</v>
      </c>
      <c r="Q143" s="71">
        <f t="shared" si="29"/>
        <v>280509.59999999998</v>
      </c>
      <c r="R143" s="72">
        <v>180327.6</v>
      </c>
      <c r="S143" s="71">
        <f t="shared" si="31"/>
        <v>6959008.25</v>
      </c>
      <c r="T143" s="72">
        <v>6526910.3300000001</v>
      </c>
      <c r="U143" s="77">
        <f>314110.45+117987.47</f>
        <v>432097.92000000004</v>
      </c>
      <c r="V143" s="76">
        <v>2988965</v>
      </c>
      <c r="W143" s="76">
        <f t="shared" si="34"/>
        <v>384735.18999999948</v>
      </c>
      <c r="X143" s="114">
        <f t="shared" si="35"/>
        <v>3970043.25</v>
      </c>
      <c r="Y143" s="50">
        <f t="shared" si="24"/>
        <v>586465.42800000007</v>
      </c>
      <c r="Z143" s="10">
        <f t="shared" si="32"/>
        <v>80145.600000000006</v>
      </c>
      <c r="AA143" s="53">
        <f t="shared" si="33"/>
        <v>561019.20000000007</v>
      </c>
    </row>
    <row r="144" spans="1:28" s="10" customFormat="1" ht="30" customHeight="1">
      <c r="A144" s="111">
        <v>143</v>
      </c>
      <c r="B144" s="68" t="s">
        <v>11</v>
      </c>
      <c r="C144" s="68" t="s">
        <v>104</v>
      </c>
      <c r="D144" s="69" t="s">
        <v>266</v>
      </c>
      <c r="E144" s="69">
        <v>8</v>
      </c>
      <c r="F144" s="69"/>
      <c r="G144" s="115">
        <v>2703.1</v>
      </c>
      <c r="H144" s="70">
        <v>41936</v>
      </c>
      <c r="I144" s="70">
        <v>41974</v>
      </c>
      <c r="J144" s="91" t="s">
        <v>206</v>
      </c>
      <c r="K144" s="91" t="s">
        <v>125</v>
      </c>
      <c r="L144" s="71">
        <f t="shared" si="27"/>
        <v>1981480.4000000001</v>
      </c>
      <c r="M144" s="72">
        <v>1954449.4000000001</v>
      </c>
      <c r="N144" s="72">
        <v>10</v>
      </c>
      <c r="O144" s="72">
        <f t="shared" si="28"/>
        <v>27031</v>
      </c>
      <c r="P144" s="72">
        <f t="shared" si="30"/>
        <v>21624.799999999999</v>
      </c>
      <c r="Q144" s="71">
        <f t="shared" si="29"/>
        <v>75686.8</v>
      </c>
      <c r="R144" s="72">
        <v>48655.8</v>
      </c>
      <c r="S144" s="71">
        <f t="shared" si="31"/>
        <v>1950519.4000000001</v>
      </c>
      <c r="T144" s="72">
        <v>1819941.56</v>
      </c>
      <c r="U144" s="77">
        <v>130577.84</v>
      </c>
      <c r="V144" s="76">
        <v>1121120</v>
      </c>
      <c r="W144" s="76">
        <f t="shared" si="34"/>
        <v>30961</v>
      </c>
      <c r="X144" s="114">
        <f t="shared" si="35"/>
        <v>829399.40000000014</v>
      </c>
      <c r="Y144" s="50">
        <f t="shared" si="24"/>
        <v>158239.47399999999</v>
      </c>
      <c r="Z144" s="10">
        <f t="shared" si="32"/>
        <v>21624.799999999999</v>
      </c>
      <c r="AA144" s="53">
        <f t="shared" si="33"/>
        <v>151373.6</v>
      </c>
    </row>
    <row r="145" spans="1:27" s="10" customFormat="1" ht="30" customHeight="1">
      <c r="A145" s="111">
        <v>144</v>
      </c>
      <c r="B145" s="68" t="s">
        <v>11</v>
      </c>
      <c r="C145" s="68" t="s">
        <v>105</v>
      </c>
      <c r="D145" s="69" t="s">
        <v>266</v>
      </c>
      <c r="E145" s="69">
        <v>8</v>
      </c>
      <c r="F145" s="69"/>
      <c r="G145" s="115">
        <v>11207.3</v>
      </c>
      <c r="H145" s="70">
        <v>41905</v>
      </c>
      <c r="I145" s="70">
        <v>41974</v>
      </c>
      <c r="J145" s="91" t="s">
        <v>207</v>
      </c>
      <c r="K145" s="91" t="s">
        <v>125</v>
      </c>
      <c r="L145" s="71">
        <f t="shared" si="27"/>
        <v>8212191.3400000008</v>
      </c>
      <c r="M145" s="72">
        <v>8100118.3400000008</v>
      </c>
      <c r="N145" s="72">
        <v>10</v>
      </c>
      <c r="O145" s="72">
        <f t="shared" si="28"/>
        <v>112073</v>
      </c>
      <c r="P145" s="72">
        <f t="shared" si="30"/>
        <v>89658.4</v>
      </c>
      <c r="Q145" s="71">
        <f t="shared" si="29"/>
        <v>313804.40000000002</v>
      </c>
      <c r="R145" s="72">
        <v>201731.4</v>
      </c>
      <c r="S145" s="71">
        <f t="shared" si="31"/>
        <v>7432676.21</v>
      </c>
      <c r="T145" s="72">
        <v>7015703.7000000002</v>
      </c>
      <c r="U145" s="77">
        <f>416972.51</f>
        <v>416972.51</v>
      </c>
      <c r="V145" s="76">
        <v>4546020</v>
      </c>
      <c r="W145" s="76">
        <f t="shared" si="34"/>
        <v>779515.13000000082</v>
      </c>
      <c r="X145" s="114">
        <f t="shared" si="35"/>
        <v>2886656.21</v>
      </c>
      <c r="Y145" s="50">
        <f t="shared" si="24"/>
        <v>656075.34199999995</v>
      </c>
      <c r="Z145" s="10">
        <f t="shared" si="32"/>
        <v>89658.4</v>
      </c>
      <c r="AA145" s="53">
        <f t="shared" si="33"/>
        <v>627608.79999999993</v>
      </c>
    </row>
    <row r="146" spans="1:27" s="10" customFormat="1" ht="30" customHeight="1">
      <c r="A146" s="111">
        <v>145</v>
      </c>
      <c r="B146" s="68" t="s">
        <v>11</v>
      </c>
      <c r="C146" s="68" t="s">
        <v>100</v>
      </c>
      <c r="D146" s="69" t="s">
        <v>266</v>
      </c>
      <c r="E146" s="69">
        <v>7.38</v>
      </c>
      <c r="F146" s="69"/>
      <c r="G146" s="126">
        <v>3626.9</v>
      </c>
      <c r="H146" s="70">
        <v>41914</v>
      </c>
      <c r="I146" s="70">
        <v>41974</v>
      </c>
      <c r="J146" s="91" t="s">
        <v>202</v>
      </c>
      <c r="K146" s="91" t="s">
        <v>125</v>
      </c>
      <c r="L146" s="71">
        <f t="shared" si="27"/>
        <v>2596429.2200000002</v>
      </c>
      <c r="M146" s="72">
        <v>2562989.202</v>
      </c>
      <c r="N146" s="72">
        <v>9.2200000000000006</v>
      </c>
      <c r="O146" s="72">
        <f t="shared" si="28"/>
        <v>33440.018000000004</v>
      </c>
      <c r="P146" s="72">
        <f t="shared" si="30"/>
        <v>26766.522000000001</v>
      </c>
      <c r="Q146" s="71">
        <f t="shared" si="29"/>
        <v>93646.558000000019</v>
      </c>
      <c r="R146" s="72">
        <v>60206.540000000008</v>
      </c>
      <c r="S146" s="71">
        <f t="shared" si="31"/>
        <v>2584652.48</v>
      </c>
      <c r="T146" s="72">
        <v>2364823</v>
      </c>
      <c r="U146" s="77">
        <f>164444.78+55384.7</f>
        <v>219829.47999999998</v>
      </c>
      <c r="V146" s="76"/>
      <c r="W146" s="76">
        <f t="shared" si="34"/>
        <v>11776.740000000224</v>
      </c>
      <c r="X146" s="114">
        <f>S146-V146</f>
        <v>2584652.48</v>
      </c>
      <c r="Y146" s="50">
        <f t="shared" si="24"/>
        <v>212318.72600000002</v>
      </c>
      <c r="Z146" s="10">
        <f t="shared" si="32"/>
        <v>26766.522000000001</v>
      </c>
      <c r="AA146" s="53">
        <f t="shared" si="33"/>
        <v>187365.65400000001</v>
      </c>
    </row>
    <row r="147" spans="1:27" s="10" customFormat="1" ht="30" customHeight="1">
      <c r="A147" s="111">
        <v>146</v>
      </c>
      <c r="B147" s="68" t="s">
        <v>11</v>
      </c>
      <c r="C147" s="68" t="s">
        <v>106</v>
      </c>
      <c r="D147" s="69" t="s">
        <v>282</v>
      </c>
      <c r="E147" s="69">
        <v>7.38</v>
      </c>
      <c r="F147" s="69"/>
      <c r="G147" s="115">
        <v>8773.1</v>
      </c>
      <c r="H147" s="70">
        <v>42884</v>
      </c>
      <c r="I147" s="70">
        <v>41974</v>
      </c>
      <c r="J147" s="91" t="s">
        <v>208</v>
      </c>
      <c r="K147" s="91" t="s">
        <v>125</v>
      </c>
      <c r="L147" s="71">
        <f t="shared" si="27"/>
        <v>6200349.8500000006</v>
      </c>
      <c r="M147" s="72">
        <v>6119461.8680000007</v>
      </c>
      <c r="N147" s="72">
        <v>9.2200000000000006</v>
      </c>
      <c r="O147" s="72">
        <f t="shared" si="28"/>
        <v>80887.982000000004</v>
      </c>
      <c r="P147" s="72">
        <f t="shared" si="30"/>
        <v>64745.478000000003</v>
      </c>
      <c r="Q147" s="71">
        <f t="shared" si="29"/>
        <v>226521.44200000004</v>
      </c>
      <c r="R147" s="72">
        <v>145633.46000000002</v>
      </c>
      <c r="S147" s="71">
        <f t="shared" si="31"/>
        <v>6457689.9200000009</v>
      </c>
      <c r="T147" s="72">
        <v>5974009.4600000009</v>
      </c>
      <c r="U147" s="77">
        <f>483680.46</f>
        <v>483680.46</v>
      </c>
      <c r="V147" s="76"/>
      <c r="W147" s="76">
        <f t="shared" si="34"/>
        <v>-257340.0700000003</v>
      </c>
      <c r="X147" s="114">
        <f t="shared" si="35"/>
        <v>6457689.9200000009</v>
      </c>
      <c r="Y147" s="50">
        <f t="shared" si="24"/>
        <v>513577.27400000009</v>
      </c>
      <c r="Z147" s="10">
        <f t="shared" si="32"/>
        <v>64745.478000000003</v>
      </c>
      <c r="AA147" s="53">
        <f t="shared" si="33"/>
        <v>453218.34600000002</v>
      </c>
    </row>
    <row r="148" spans="1:27" s="10" customFormat="1" ht="30" customHeight="1">
      <c r="A148" s="111">
        <v>147</v>
      </c>
      <c r="B148" s="68" t="s">
        <v>11</v>
      </c>
      <c r="C148" s="68" t="s">
        <v>107</v>
      </c>
      <c r="D148" s="69" t="s">
        <v>282</v>
      </c>
      <c r="E148" s="69">
        <v>7.38</v>
      </c>
      <c r="F148" s="69"/>
      <c r="G148" s="115">
        <v>4130.1000000000004</v>
      </c>
      <c r="H148" s="70">
        <v>41943</v>
      </c>
      <c r="I148" s="70">
        <v>41974</v>
      </c>
      <c r="J148" s="91" t="s">
        <v>209</v>
      </c>
      <c r="K148" s="91" t="s">
        <v>125</v>
      </c>
      <c r="L148" s="71">
        <f t="shared" si="27"/>
        <v>2812822.0899999985</v>
      </c>
      <c r="M148" s="72">
        <v>2774742.5679999986</v>
      </c>
      <c r="N148" s="72">
        <v>9.2200000000000006</v>
      </c>
      <c r="O148" s="72">
        <f t="shared" si="28"/>
        <v>38079.522000000004</v>
      </c>
      <c r="P148" s="72">
        <f t="shared" si="30"/>
        <v>30480.138000000003</v>
      </c>
      <c r="Q148" s="71">
        <f t="shared" si="29"/>
        <v>106639.182</v>
      </c>
      <c r="R148" s="72">
        <v>68559.66</v>
      </c>
      <c r="S148" s="71">
        <f t="shared" si="31"/>
        <v>2769347.09</v>
      </c>
      <c r="T148" s="72">
        <v>2587549</v>
      </c>
      <c r="U148" s="77">
        <v>181798.09</v>
      </c>
      <c r="V148" s="76">
        <v>437828.19</v>
      </c>
      <c r="W148" s="76">
        <f t="shared" si="34"/>
        <v>43474.999999998603</v>
      </c>
      <c r="X148" s="114">
        <f t="shared" si="35"/>
        <v>2331518.9</v>
      </c>
      <c r="Y148" s="50">
        <f t="shared" si="24"/>
        <v>241776.05400000003</v>
      </c>
      <c r="Z148" s="10">
        <f t="shared" si="32"/>
        <v>30480.138000000003</v>
      </c>
      <c r="AA148" s="53">
        <f t="shared" si="33"/>
        <v>213360.96600000001</v>
      </c>
    </row>
    <row r="149" spans="1:27" s="10" customFormat="1" ht="30" customHeight="1">
      <c r="A149" s="111">
        <v>148</v>
      </c>
      <c r="B149" s="68" t="s">
        <v>11</v>
      </c>
      <c r="C149" s="68" t="s">
        <v>108</v>
      </c>
      <c r="D149" s="68" t="s">
        <v>282</v>
      </c>
      <c r="E149" s="68">
        <v>7.38</v>
      </c>
      <c r="F149" s="68"/>
      <c r="G149" s="112">
        <v>4094.4</v>
      </c>
      <c r="H149" s="94">
        <v>41939</v>
      </c>
      <c r="I149" s="70">
        <v>41974</v>
      </c>
      <c r="J149" s="91" t="s">
        <v>210</v>
      </c>
      <c r="K149" s="91" t="s">
        <v>125</v>
      </c>
      <c r="L149" s="71">
        <f t="shared" si="27"/>
        <v>2902342.0299999979</v>
      </c>
      <c r="M149" s="72">
        <v>2864591.6619999981</v>
      </c>
      <c r="N149" s="72">
        <v>9.2200000000000006</v>
      </c>
      <c r="O149" s="72">
        <f t="shared" si="28"/>
        <v>37750.368000000002</v>
      </c>
      <c r="P149" s="72">
        <f t="shared" si="30"/>
        <v>30216.671999999999</v>
      </c>
      <c r="Q149" s="71">
        <f t="shared" si="29"/>
        <v>105717.40800000001</v>
      </c>
      <c r="R149" s="72">
        <v>67967.040000000008</v>
      </c>
      <c r="S149" s="71">
        <f t="shared" si="31"/>
        <v>2803125.57</v>
      </c>
      <c r="T149" s="72">
        <v>2600827.94</v>
      </c>
      <c r="U149" s="77">
        <v>202297.63</v>
      </c>
      <c r="V149" s="76"/>
      <c r="W149" s="76">
        <f t="shared" si="34"/>
        <v>99216.4599999981</v>
      </c>
      <c r="X149" s="114">
        <f t="shared" si="35"/>
        <v>2803125.57</v>
      </c>
      <c r="Y149" s="50">
        <f t="shared" si="24"/>
        <v>239686.17600000001</v>
      </c>
      <c r="Z149" s="10">
        <f t="shared" si="32"/>
        <v>30216.671999999999</v>
      </c>
      <c r="AA149" s="53">
        <f t="shared" si="33"/>
        <v>211516.704</v>
      </c>
    </row>
    <row r="150" spans="1:27" s="10" customFormat="1" ht="30" customHeight="1">
      <c r="A150" s="111">
        <v>149</v>
      </c>
      <c r="B150" s="68" t="s">
        <v>11</v>
      </c>
      <c r="C150" s="68" t="s">
        <v>372</v>
      </c>
      <c r="D150" s="69" t="s">
        <v>266</v>
      </c>
      <c r="E150" s="69">
        <v>7.38</v>
      </c>
      <c r="F150" s="69"/>
      <c r="G150" s="112">
        <v>5520.4</v>
      </c>
      <c r="H150" s="70">
        <v>45117</v>
      </c>
      <c r="I150" s="70">
        <v>41974</v>
      </c>
      <c r="J150" s="74" t="s">
        <v>373</v>
      </c>
      <c r="K150" s="91" t="s">
        <v>125</v>
      </c>
      <c r="L150" s="71">
        <f t="shared" si="27"/>
        <v>285183.86399999994</v>
      </c>
      <c r="M150" s="72">
        <v>285183.86399999994</v>
      </c>
      <c r="N150" s="72"/>
      <c r="O150" s="72">
        <f t="shared" si="28"/>
        <v>0</v>
      </c>
      <c r="P150" s="72">
        <f t="shared" si="30"/>
        <v>40740.551999999996</v>
      </c>
      <c r="Q150" s="71">
        <f t="shared" si="29"/>
        <v>40740.551999999996</v>
      </c>
      <c r="R150" s="72">
        <v>40740.551999999996</v>
      </c>
      <c r="S150" s="71">
        <f t="shared" si="31"/>
        <v>372146.71</v>
      </c>
      <c r="T150" s="72">
        <v>200320.67</v>
      </c>
      <c r="U150" s="77">
        <f>171826.04</f>
        <v>171826.04</v>
      </c>
      <c r="V150" s="76"/>
      <c r="W150" s="76">
        <f t="shared" si="34"/>
        <v>-86962.846000000078</v>
      </c>
      <c r="X150" s="114">
        <f t="shared" si="35"/>
        <v>372146.71</v>
      </c>
      <c r="Y150" s="50">
        <f t="shared" si="24"/>
        <v>323164.21600000001</v>
      </c>
      <c r="AA150" s="53"/>
    </row>
    <row r="151" spans="1:27" s="10" customFormat="1" ht="30" customHeight="1">
      <c r="A151" s="111">
        <v>150</v>
      </c>
      <c r="B151" s="68" t="s">
        <v>11</v>
      </c>
      <c r="C151" s="68" t="s">
        <v>109</v>
      </c>
      <c r="D151" s="69" t="s">
        <v>266</v>
      </c>
      <c r="E151" s="69">
        <v>7.38</v>
      </c>
      <c r="F151" s="69"/>
      <c r="G151" s="115">
        <v>2814.1</v>
      </c>
      <c r="H151" s="70">
        <v>41919</v>
      </c>
      <c r="I151" s="70">
        <v>41974</v>
      </c>
      <c r="J151" s="91" t="s">
        <v>211</v>
      </c>
      <c r="K151" s="91" t="s">
        <v>125</v>
      </c>
      <c r="L151" s="71">
        <f t="shared" si="27"/>
        <v>2015760.9900000002</v>
      </c>
      <c r="M151" s="72">
        <v>1989814.9880000001</v>
      </c>
      <c r="N151" s="72">
        <v>9.2200000000000006</v>
      </c>
      <c r="O151" s="72">
        <f t="shared" si="28"/>
        <v>25946.002</v>
      </c>
      <c r="P151" s="72">
        <f t="shared" si="30"/>
        <v>20768.057999999997</v>
      </c>
      <c r="Q151" s="71">
        <f t="shared" si="29"/>
        <v>72660.062000000005</v>
      </c>
      <c r="R151" s="72">
        <v>46714.06</v>
      </c>
      <c r="S151" s="71">
        <f t="shared" si="31"/>
        <v>2162486.67</v>
      </c>
      <c r="T151" s="72">
        <v>2010979.18</v>
      </c>
      <c r="U151" s="78">
        <f>151507.49</f>
        <v>151507.49</v>
      </c>
      <c r="V151" s="76"/>
      <c r="W151" s="76">
        <f t="shared" si="34"/>
        <v>-146725.6799999997</v>
      </c>
      <c r="X151" s="114">
        <f t="shared" si="35"/>
        <v>2162486.67</v>
      </c>
      <c r="Y151" s="50">
        <f t="shared" si="24"/>
        <v>164737.41399999999</v>
      </c>
      <c r="Z151" s="10">
        <f t="shared" si="32"/>
        <v>20768.057999999997</v>
      </c>
      <c r="AA151" s="53">
        <f t="shared" si="33"/>
        <v>145376.40599999999</v>
      </c>
    </row>
    <row r="152" spans="1:27" s="10" customFormat="1" ht="30" customHeight="1">
      <c r="A152" s="111">
        <v>151</v>
      </c>
      <c r="B152" s="68" t="s">
        <v>11</v>
      </c>
      <c r="C152" s="68" t="s">
        <v>227</v>
      </c>
      <c r="D152" s="69" t="s">
        <v>283</v>
      </c>
      <c r="E152" s="69">
        <v>7.38</v>
      </c>
      <c r="F152" s="69"/>
      <c r="G152" s="126">
        <v>1908</v>
      </c>
      <c r="H152" s="70">
        <v>43259</v>
      </c>
      <c r="I152" s="70">
        <v>41974</v>
      </c>
      <c r="J152" s="91" t="s">
        <v>229</v>
      </c>
      <c r="K152" s="91" t="s">
        <v>123</v>
      </c>
      <c r="L152" s="71">
        <f t="shared" si="27"/>
        <v>1355739.8</v>
      </c>
      <c r="M152" s="72">
        <v>1338148.04</v>
      </c>
      <c r="N152" s="72">
        <v>9.2200000000000006</v>
      </c>
      <c r="O152" s="72">
        <f t="shared" si="28"/>
        <v>17591.760000000002</v>
      </c>
      <c r="P152" s="72">
        <f t="shared" si="30"/>
        <v>14081.039999999999</v>
      </c>
      <c r="Q152" s="71">
        <f t="shared" si="29"/>
        <v>49264.560000000005</v>
      </c>
      <c r="R152" s="72">
        <v>31672.800000000003</v>
      </c>
      <c r="S152" s="71">
        <f t="shared" si="31"/>
        <v>1420066.93</v>
      </c>
      <c r="T152" s="72">
        <v>1303641.54</v>
      </c>
      <c r="U152" s="78">
        <f>116425.39</f>
        <v>116425.39</v>
      </c>
      <c r="V152" s="76"/>
      <c r="W152" s="76">
        <f t="shared" si="34"/>
        <v>-64327.129999999888</v>
      </c>
      <c r="X152" s="114">
        <f t="shared" si="35"/>
        <v>1420066.93</v>
      </c>
      <c r="Y152" s="50">
        <f t="shared" si="24"/>
        <v>111694.31999999999</v>
      </c>
      <c r="Z152" s="10">
        <f t="shared" si="32"/>
        <v>14081.039999999999</v>
      </c>
      <c r="AA152" s="53">
        <f t="shared" si="33"/>
        <v>98567.28</v>
      </c>
    </row>
    <row r="153" spans="1:27" s="10" customFormat="1" ht="30" customHeight="1">
      <c r="A153" s="111">
        <v>152</v>
      </c>
      <c r="B153" s="68" t="s">
        <v>11</v>
      </c>
      <c r="C153" s="68" t="s">
        <v>110</v>
      </c>
      <c r="D153" s="69" t="s">
        <v>266</v>
      </c>
      <c r="E153" s="69">
        <v>8</v>
      </c>
      <c r="F153" s="69"/>
      <c r="G153" s="126">
        <v>4927.78</v>
      </c>
      <c r="H153" s="70">
        <v>41920</v>
      </c>
      <c r="I153" s="70">
        <v>41974</v>
      </c>
      <c r="J153" s="91" t="s">
        <v>212</v>
      </c>
      <c r="K153" s="91" t="s">
        <v>125</v>
      </c>
      <c r="L153" s="71">
        <f t="shared" si="27"/>
        <v>3596650.97</v>
      </c>
      <c r="M153" s="72">
        <v>3547373.1700000004</v>
      </c>
      <c r="N153" s="72">
        <v>10</v>
      </c>
      <c r="O153" s="72">
        <f t="shared" si="28"/>
        <v>49277.799999999996</v>
      </c>
      <c r="P153" s="72">
        <f t="shared" si="30"/>
        <v>39422.239999999998</v>
      </c>
      <c r="Q153" s="71">
        <f t="shared" si="29"/>
        <v>137977.84</v>
      </c>
      <c r="R153" s="72">
        <v>88700.04</v>
      </c>
      <c r="S153" s="71">
        <f t="shared" si="31"/>
        <v>3788423.43</v>
      </c>
      <c r="T153" s="72">
        <v>3572925.2</v>
      </c>
      <c r="U153" s="78">
        <v>215498.23</v>
      </c>
      <c r="V153" s="76">
        <v>2181500</v>
      </c>
      <c r="W153" s="76">
        <f t="shared" si="34"/>
        <v>-191772.45999999996</v>
      </c>
      <c r="X153" s="114">
        <f t="shared" si="35"/>
        <v>1606923.4300000002</v>
      </c>
      <c r="Y153" s="50">
        <f t="shared" si="24"/>
        <v>288472.24119999999</v>
      </c>
      <c r="Z153" s="10">
        <f t="shared" si="32"/>
        <v>39422.239999999998</v>
      </c>
      <c r="AA153" s="53">
        <f t="shared" si="33"/>
        <v>275955.68</v>
      </c>
    </row>
    <row r="154" spans="1:27" s="10" customFormat="1" ht="30" customHeight="1">
      <c r="A154" s="111">
        <v>153</v>
      </c>
      <c r="B154" s="68" t="s">
        <v>11</v>
      </c>
      <c r="C154" s="68" t="s">
        <v>111</v>
      </c>
      <c r="D154" s="69" t="s">
        <v>266</v>
      </c>
      <c r="E154" s="69">
        <v>8</v>
      </c>
      <c r="F154" s="69"/>
      <c r="G154" s="126">
        <v>4917.3100000000004</v>
      </c>
      <c r="H154" s="70">
        <v>41915</v>
      </c>
      <c r="I154" s="70">
        <v>41974</v>
      </c>
      <c r="J154" s="91" t="s">
        <v>213</v>
      </c>
      <c r="K154" s="91" t="s">
        <v>125</v>
      </c>
      <c r="L154" s="71">
        <f t="shared" si="27"/>
        <v>3604435.0900000003</v>
      </c>
      <c r="M154" s="72">
        <v>3555261.99</v>
      </c>
      <c r="N154" s="72">
        <v>10</v>
      </c>
      <c r="O154" s="72">
        <f t="shared" si="28"/>
        <v>49173.100000000006</v>
      </c>
      <c r="P154" s="72">
        <f t="shared" si="30"/>
        <v>39338.480000000003</v>
      </c>
      <c r="Q154" s="71">
        <f t="shared" si="29"/>
        <v>137684.68000000002</v>
      </c>
      <c r="R154" s="72">
        <v>88511.580000000016</v>
      </c>
      <c r="S154" s="71">
        <f t="shared" si="31"/>
        <v>3518770.17</v>
      </c>
      <c r="T154" s="72">
        <v>3306032</v>
      </c>
      <c r="U154" s="77">
        <f>212738.17</f>
        <v>212738.17</v>
      </c>
      <c r="V154" s="76">
        <v>1914081</v>
      </c>
      <c r="W154" s="76">
        <f t="shared" si="34"/>
        <v>85664.920000000391</v>
      </c>
      <c r="X154" s="114">
        <f t="shared" si="35"/>
        <v>1604689.17</v>
      </c>
      <c r="Y154" s="50">
        <f t="shared" si="24"/>
        <v>287859.32740000001</v>
      </c>
      <c r="Z154" s="10">
        <f t="shared" si="32"/>
        <v>39338.480000000003</v>
      </c>
      <c r="AA154" s="53">
        <f t="shared" si="33"/>
        <v>275369.36000000004</v>
      </c>
    </row>
    <row r="155" spans="1:27" s="10" customFormat="1" ht="30" customHeight="1">
      <c r="A155" s="111">
        <v>154</v>
      </c>
      <c r="B155" s="68" t="s">
        <v>11</v>
      </c>
      <c r="C155" s="68" t="s">
        <v>113</v>
      </c>
      <c r="D155" s="69" t="s">
        <v>266</v>
      </c>
      <c r="E155" s="69">
        <v>8</v>
      </c>
      <c r="F155" s="69"/>
      <c r="G155" s="115">
        <v>8510.6</v>
      </c>
      <c r="H155" s="70">
        <v>41915</v>
      </c>
      <c r="I155" s="70">
        <v>41974</v>
      </c>
      <c r="J155" s="91" t="s">
        <v>215</v>
      </c>
      <c r="K155" s="91" t="s">
        <v>125</v>
      </c>
      <c r="L155" s="71">
        <f t="shared" si="27"/>
        <v>6238610.7999999998</v>
      </c>
      <c r="M155" s="72">
        <v>6153504.7999999998</v>
      </c>
      <c r="N155" s="72">
        <v>10</v>
      </c>
      <c r="O155" s="72">
        <f t="shared" si="28"/>
        <v>85106</v>
      </c>
      <c r="P155" s="72">
        <f t="shared" si="30"/>
        <v>68084.800000000003</v>
      </c>
      <c r="Q155" s="71">
        <f t="shared" si="29"/>
        <v>238296.8</v>
      </c>
      <c r="R155" s="72">
        <v>153190.79999999999</v>
      </c>
      <c r="S155" s="71">
        <f t="shared" si="31"/>
        <v>6020875.2700000005</v>
      </c>
      <c r="T155" s="72">
        <v>5682223.3900000006</v>
      </c>
      <c r="U155" s="77">
        <v>338651.88</v>
      </c>
      <c r="V155" s="76">
        <f>3754172.01+717901.66-699380.01</f>
        <v>3772693.66</v>
      </c>
      <c r="W155" s="76">
        <f t="shared" si="34"/>
        <v>217735.52999999933</v>
      </c>
      <c r="X155" s="114">
        <f t="shared" si="35"/>
        <v>2248181.6100000003</v>
      </c>
      <c r="Y155" s="50">
        <f t="shared" si="24"/>
        <v>498210.52400000009</v>
      </c>
      <c r="Z155" s="10">
        <f t="shared" si="32"/>
        <v>68084.800000000003</v>
      </c>
      <c r="AA155" s="53">
        <f t="shared" si="33"/>
        <v>476593.60000000003</v>
      </c>
    </row>
    <row r="156" spans="1:27" s="10" customFormat="1" ht="30" customHeight="1">
      <c r="A156" s="111">
        <v>155</v>
      </c>
      <c r="B156" s="68" t="s">
        <v>11</v>
      </c>
      <c r="C156" s="68" t="s">
        <v>112</v>
      </c>
      <c r="D156" s="69" t="s">
        <v>266</v>
      </c>
      <c r="E156" s="69">
        <v>8</v>
      </c>
      <c r="F156" s="69"/>
      <c r="G156" s="115">
        <v>8424.49</v>
      </c>
      <c r="H156" s="70">
        <v>41915</v>
      </c>
      <c r="I156" s="70">
        <v>41974</v>
      </c>
      <c r="J156" s="91" t="s">
        <v>214</v>
      </c>
      <c r="K156" s="91" t="s">
        <v>125</v>
      </c>
      <c r="L156" s="71">
        <f t="shared" si="27"/>
        <v>6143180.5500000007</v>
      </c>
      <c r="M156" s="72">
        <v>6058935.6500000004</v>
      </c>
      <c r="N156" s="72">
        <v>10</v>
      </c>
      <c r="O156" s="72">
        <f t="shared" si="28"/>
        <v>84244.9</v>
      </c>
      <c r="P156" s="72">
        <f t="shared" si="30"/>
        <v>67395.92</v>
      </c>
      <c r="Q156" s="71">
        <f t="shared" si="29"/>
        <v>235885.72</v>
      </c>
      <c r="R156" s="72">
        <v>151640.82</v>
      </c>
      <c r="S156" s="71">
        <f t="shared" si="31"/>
        <v>5682640.6099999994</v>
      </c>
      <c r="T156" s="72">
        <v>5343988.7299999995</v>
      </c>
      <c r="U156" s="77">
        <f>242865.06+95786.82</f>
        <v>338651.88</v>
      </c>
      <c r="V156" s="76">
        <v>3434459</v>
      </c>
      <c r="W156" s="76">
        <f t="shared" si="34"/>
        <v>460539.94000000134</v>
      </c>
      <c r="X156" s="114">
        <f t="shared" si="35"/>
        <v>2248181.6099999994</v>
      </c>
      <c r="Y156" s="50">
        <f t="shared" si="24"/>
        <v>493169.6446</v>
      </c>
      <c r="Z156" s="10">
        <f t="shared" si="32"/>
        <v>67395.92</v>
      </c>
      <c r="AA156" s="53">
        <f t="shared" si="33"/>
        <v>471771.44</v>
      </c>
    </row>
    <row r="157" spans="1:27" ht="28.5" customHeight="1">
      <c r="A157" s="111">
        <v>156</v>
      </c>
      <c r="B157" s="68" t="s">
        <v>11</v>
      </c>
      <c r="C157" s="68" t="s">
        <v>339</v>
      </c>
      <c r="D157" s="69" t="s">
        <v>266</v>
      </c>
      <c r="E157" s="69">
        <v>8</v>
      </c>
      <c r="F157" s="69"/>
      <c r="G157" s="115">
        <v>6116.7</v>
      </c>
      <c r="H157" s="70">
        <v>44761</v>
      </c>
      <c r="I157" s="70">
        <v>41974</v>
      </c>
      <c r="J157" s="74" t="s">
        <v>341</v>
      </c>
      <c r="K157" s="91" t="s">
        <v>125</v>
      </c>
      <c r="L157" s="71">
        <f t="shared" si="27"/>
        <v>4683540.6599999992</v>
      </c>
      <c r="M157" s="113">
        <v>4622373.6599999992</v>
      </c>
      <c r="N157" s="72">
        <v>10</v>
      </c>
      <c r="O157" s="72">
        <f t="shared" si="28"/>
        <v>61167</v>
      </c>
      <c r="P157" s="72">
        <f t="shared" si="30"/>
        <v>48933.599999999999</v>
      </c>
      <c r="Q157" s="71">
        <f t="shared" si="29"/>
        <v>171267.6</v>
      </c>
      <c r="R157" s="72">
        <v>110100.6</v>
      </c>
      <c r="S157" s="71">
        <f t="shared" si="31"/>
        <v>4181319.74</v>
      </c>
      <c r="T157" s="72">
        <v>3863097.1</v>
      </c>
      <c r="U157" s="77">
        <f>242590.52+75632.12</f>
        <v>318222.64</v>
      </c>
      <c r="V157" s="76">
        <f>1163983.7+2709214.33</f>
        <v>3873198.0300000003</v>
      </c>
      <c r="W157" s="76">
        <f t="shared" si="34"/>
        <v>502220.91999999899</v>
      </c>
      <c r="X157" s="114">
        <f t="shared" si="35"/>
        <v>308121.70999999996</v>
      </c>
      <c r="Y157" s="1">
        <f t="shared" si="24"/>
        <v>358071.61800000002</v>
      </c>
      <c r="Z157" s="1">
        <f t="shared" si="32"/>
        <v>48933.599999999999</v>
      </c>
      <c r="AA157" s="1">
        <f t="shared" si="33"/>
        <v>342535.2</v>
      </c>
    </row>
    <row r="158" spans="1:27" s="10" customFormat="1" ht="30" customHeight="1">
      <c r="A158" s="111">
        <v>157</v>
      </c>
      <c r="B158" s="68" t="s">
        <v>11</v>
      </c>
      <c r="C158" s="68" t="s">
        <v>114</v>
      </c>
      <c r="D158" s="69" t="s">
        <v>272</v>
      </c>
      <c r="E158" s="69">
        <v>7.38</v>
      </c>
      <c r="F158" s="69"/>
      <c r="G158" s="126">
        <v>3120.8</v>
      </c>
      <c r="H158" s="70">
        <v>41898</v>
      </c>
      <c r="I158" s="70">
        <v>41974</v>
      </c>
      <c r="J158" s="91" t="s">
        <v>216</v>
      </c>
      <c r="K158" s="91" t="s">
        <v>125</v>
      </c>
      <c r="L158" s="71">
        <f t="shared" si="27"/>
        <v>2212438.8620000002</v>
      </c>
      <c r="M158" s="72">
        <v>2183665.0860000001</v>
      </c>
      <c r="N158" s="72">
        <v>9.2200000000000006</v>
      </c>
      <c r="O158" s="72">
        <f t="shared" si="28"/>
        <v>28773.776000000005</v>
      </c>
      <c r="P158" s="72">
        <f t="shared" si="30"/>
        <v>23031.504000000001</v>
      </c>
      <c r="Q158" s="71">
        <f t="shared" si="29"/>
        <v>80579.056000000011</v>
      </c>
      <c r="R158" s="72">
        <v>51805.280000000006</v>
      </c>
      <c r="S158" s="71">
        <f t="shared" si="31"/>
        <v>2313491.89</v>
      </c>
      <c r="T158" s="72">
        <v>2115312.02</v>
      </c>
      <c r="U158" s="78">
        <f>198179.87</f>
        <v>198179.87</v>
      </c>
      <c r="V158" s="76">
        <v>475863.56</v>
      </c>
      <c r="W158" s="76">
        <f t="shared" si="34"/>
        <v>-101053.02799999993</v>
      </c>
      <c r="X158" s="114">
        <f>S158-V158</f>
        <v>1837628.33</v>
      </c>
      <c r="Y158" s="50">
        <f t="shared" si="24"/>
        <v>182691.63200000001</v>
      </c>
      <c r="Z158" s="10">
        <f t="shared" si="32"/>
        <v>23031.504000000001</v>
      </c>
      <c r="AA158" s="53">
        <f t="shared" si="33"/>
        <v>161220.52799999999</v>
      </c>
    </row>
    <row r="159" spans="1:27" s="10" customFormat="1" ht="30" customHeight="1">
      <c r="A159" s="111">
        <v>158</v>
      </c>
      <c r="B159" s="68" t="s">
        <v>11</v>
      </c>
      <c r="C159" s="68" t="s">
        <v>116</v>
      </c>
      <c r="D159" s="69" t="s">
        <v>266</v>
      </c>
      <c r="E159" s="69">
        <v>8</v>
      </c>
      <c r="F159" s="69"/>
      <c r="G159" s="115">
        <v>9213.6</v>
      </c>
      <c r="H159" s="70">
        <v>41956</v>
      </c>
      <c r="I159" s="70">
        <v>41974</v>
      </c>
      <c r="J159" s="91" t="s">
        <v>218</v>
      </c>
      <c r="K159" s="91" t="s">
        <v>125</v>
      </c>
      <c r="L159" s="71">
        <f t="shared" si="27"/>
        <v>6755138.0699999994</v>
      </c>
      <c r="M159" s="72">
        <v>6663002.0699999994</v>
      </c>
      <c r="N159" s="72">
        <v>10</v>
      </c>
      <c r="O159" s="72">
        <f t="shared" si="28"/>
        <v>92136</v>
      </c>
      <c r="P159" s="72">
        <f t="shared" si="30"/>
        <v>73708.800000000003</v>
      </c>
      <c r="Q159" s="71">
        <f t="shared" si="29"/>
        <v>257980.79999999999</v>
      </c>
      <c r="R159" s="72">
        <v>165844.79999999999</v>
      </c>
      <c r="S159" s="71">
        <f t="shared" si="31"/>
        <v>6495641.21</v>
      </c>
      <c r="T159" s="72">
        <v>6109548.71</v>
      </c>
      <c r="U159" s="77">
        <f>386092.5</f>
        <v>386092.5</v>
      </c>
      <c r="V159" s="76">
        <v>3633623</v>
      </c>
      <c r="W159" s="76">
        <f t="shared" si="34"/>
        <v>259496.8599999994</v>
      </c>
      <c r="X159" s="114">
        <f>S159-V159</f>
        <v>2862018.21</v>
      </c>
      <c r="Y159" s="50">
        <f t="shared" si="24"/>
        <v>539364.14400000009</v>
      </c>
      <c r="Z159" s="10">
        <f t="shared" si="32"/>
        <v>73708.800000000003</v>
      </c>
      <c r="AA159" s="53">
        <f t="shared" si="33"/>
        <v>515961.60000000003</v>
      </c>
    </row>
    <row r="160" spans="1:27" s="10" customFormat="1" ht="30" customHeight="1">
      <c r="A160" s="111">
        <v>159</v>
      </c>
      <c r="B160" s="68" t="s">
        <v>11</v>
      </c>
      <c r="C160" s="68" t="s">
        <v>115</v>
      </c>
      <c r="D160" s="69" t="s">
        <v>266</v>
      </c>
      <c r="E160" s="69">
        <v>8</v>
      </c>
      <c r="F160" s="69"/>
      <c r="G160" s="116">
        <v>10260.61</v>
      </c>
      <c r="H160" s="70">
        <v>41936</v>
      </c>
      <c r="I160" s="70">
        <v>41974</v>
      </c>
      <c r="J160" s="91" t="s">
        <v>217</v>
      </c>
      <c r="K160" s="91" t="s">
        <v>125</v>
      </c>
      <c r="L160" s="71">
        <f t="shared" si="27"/>
        <v>7502253.879999999</v>
      </c>
      <c r="M160" s="72">
        <v>7399647.7799999993</v>
      </c>
      <c r="N160" s="72">
        <v>10</v>
      </c>
      <c r="O160" s="72">
        <f t="shared" si="28"/>
        <v>102606.1</v>
      </c>
      <c r="P160" s="72">
        <f t="shared" si="30"/>
        <v>82084.88</v>
      </c>
      <c r="Q160" s="71">
        <f t="shared" si="29"/>
        <v>287297.08</v>
      </c>
      <c r="R160" s="72">
        <v>184690.98</v>
      </c>
      <c r="S160" s="71">
        <f t="shared" si="31"/>
        <v>7049451.2399999993</v>
      </c>
      <c r="T160" s="72">
        <v>6639841.4499999993</v>
      </c>
      <c r="U160" s="77">
        <v>409609.79</v>
      </c>
      <c r="V160" s="76">
        <v>4179446.7</v>
      </c>
      <c r="W160" s="76">
        <f t="shared" si="34"/>
        <v>452802.63999999966</v>
      </c>
      <c r="X160" s="114">
        <f>S160-V160</f>
        <v>2870004.5399999991</v>
      </c>
      <c r="Y160" s="50">
        <f t="shared" ref="Y160:Y171" si="36">(6.3*G160)+(6.53*G160*8)</f>
        <v>600656.10940000007</v>
      </c>
      <c r="Z160" s="10">
        <f t="shared" si="32"/>
        <v>82084.88</v>
      </c>
      <c r="AA160" s="53">
        <f t="shared" si="33"/>
        <v>574594.16</v>
      </c>
    </row>
    <row r="161" spans="1:27" s="10" customFormat="1" ht="30" customHeight="1">
      <c r="A161" s="111">
        <v>160</v>
      </c>
      <c r="B161" s="68" t="s">
        <v>11</v>
      </c>
      <c r="C161" s="68" t="s">
        <v>379</v>
      </c>
      <c r="D161" s="69" t="s">
        <v>266</v>
      </c>
      <c r="E161" s="69">
        <v>8</v>
      </c>
      <c r="F161" s="69"/>
      <c r="G161" s="140">
        <v>4901.1000000000004</v>
      </c>
      <c r="H161" s="70">
        <v>45250</v>
      </c>
      <c r="I161" s="70">
        <v>41974</v>
      </c>
      <c r="J161" s="74" t="s">
        <v>380</v>
      </c>
      <c r="K161" s="91" t="s">
        <v>125</v>
      </c>
      <c r="L161" s="71">
        <f t="shared" si="27"/>
        <v>3525455.6960000005</v>
      </c>
      <c r="M161" s="72">
        <v>3476444.6960000005</v>
      </c>
      <c r="N161" s="72">
        <v>10</v>
      </c>
      <c r="O161" s="72">
        <f t="shared" si="28"/>
        <v>49011</v>
      </c>
      <c r="P161" s="72">
        <f t="shared" si="30"/>
        <v>39208.800000000003</v>
      </c>
      <c r="Q161" s="71">
        <f t="shared" si="29"/>
        <v>137230.79999999999</v>
      </c>
      <c r="R161" s="119">
        <v>88219.8</v>
      </c>
      <c r="S161" s="118">
        <f t="shared" si="31"/>
        <v>3594624.5999999996</v>
      </c>
      <c r="T161" s="119">
        <v>3317936.84</v>
      </c>
      <c r="U161" s="77">
        <f>276687.76</f>
        <v>276687.76</v>
      </c>
      <c r="V161" s="76"/>
      <c r="W161" s="76">
        <f t="shared" si="34"/>
        <v>-69168.903999999166</v>
      </c>
      <c r="X161" s="114">
        <f>S161-V161</f>
        <v>3594624.5999999996</v>
      </c>
      <c r="Y161" s="50">
        <f t="shared" si="36"/>
        <v>286910.39400000003</v>
      </c>
      <c r="Z161" s="10">
        <f t="shared" si="32"/>
        <v>39208.800000000003</v>
      </c>
      <c r="AA161" s="53">
        <f t="shared" si="33"/>
        <v>274461.60000000003</v>
      </c>
    </row>
    <row r="162" spans="1:27" s="10" customFormat="1" ht="30" customHeight="1">
      <c r="A162" s="111">
        <v>161</v>
      </c>
      <c r="B162" s="68" t="s">
        <v>11</v>
      </c>
      <c r="C162" s="68" t="s">
        <v>117</v>
      </c>
      <c r="D162" s="69" t="s">
        <v>272</v>
      </c>
      <c r="E162" s="69">
        <v>7.38</v>
      </c>
      <c r="F162" s="69"/>
      <c r="G162" s="91">
        <v>4922.62</v>
      </c>
      <c r="H162" s="70">
        <v>41956</v>
      </c>
      <c r="I162" s="70">
        <v>41974</v>
      </c>
      <c r="J162" s="91" t="s">
        <v>219</v>
      </c>
      <c r="K162" s="91" t="s">
        <v>125</v>
      </c>
      <c r="L162" s="71">
        <f t="shared" si="27"/>
        <v>3531055.4948000005</v>
      </c>
      <c r="M162" s="72">
        <v>3485668.9384000003</v>
      </c>
      <c r="N162" s="72">
        <v>9.2200000000000006</v>
      </c>
      <c r="O162" s="72">
        <f t="shared" si="28"/>
        <v>45386.556400000001</v>
      </c>
      <c r="P162" s="72">
        <f t="shared" si="30"/>
        <v>36328.935599999997</v>
      </c>
      <c r="Q162" s="71">
        <f t="shared" si="29"/>
        <v>127102.0484</v>
      </c>
      <c r="R162" s="72">
        <v>81715.491999999998</v>
      </c>
      <c r="S162" s="71">
        <f>T162+U162</f>
        <v>3484061.41</v>
      </c>
      <c r="T162" s="72">
        <v>3326085.5</v>
      </c>
      <c r="U162" s="77">
        <f>157975.91</f>
        <v>157975.91</v>
      </c>
      <c r="V162" s="76">
        <v>2245965.7999999998</v>
      </c>
      <c r="W162" s="76">
        <f t="shared" si="34"/>
        <v>46994.084800000302</v>
      </c>
      <c r="X162" s="114">
        <f t="shared" si="35"/>
        <v>1238095.6100000003</v>
      </c>
      <c r="Y162" s="50">
        <f t="shared" si="36"/>
        <v>288170.17480000004</v>
      </c>
      <c r="Z162" s="10">
        <f t="shared" si="32"/>
        <v>36328.935599999997</v>
      </c>
      <c r="AA162" s="53">
        <f t="shared" si="33"/>
        <v>254302.54919999998</v>
      </c>
    </row>
    <row r="163" spans="1:27" s="10" customFormat="1" ht="30" customHeight="1">
      <c r="A163" s="111">
        <v>162</v>
      </c>
      <c r="B163" s="68" t="s">
        <v>11</v>
      </c>
      <c r="C163" s="68" t="s">
        <v>118</v>
      </c>
      <c r="D163" s="69" t="s">
        <v>266</v>
      </c>
      <c r="E163" s="69">
        <v>8</v>
      </c>
      <c r="F163" s="69"/>
      <c r="G163" s="116">
        <v>10053.5</v>
      </c>
      <c r="H163" s="70">
        <v>41913</v>
      </c>
      <c r="I163" s="70">
        <v>41974</v>
      </c>
      <c r="J163" s="91" t="s">
        <v>220</v>
      </c>
      <c r="K163" s="91" t="s">
        <v>125</v>
      </c>
      <c r="L163" s="71">
        <f t="shared" si="27"/>
        <v>7389710.5699999994</v>
      </c>
      <c r="M163" s="72">
        <v>7289175.5699999994</v>
      </c>
      <c r="N163" s="72">
        <v>10</v>
      </c>
      <c r="O163" s="72">
        <f t="shared" si="28"/>
        <v>100535</v>
      </c>
      <c r="P163" s="72">
        <f t="shared" si="30"/>
        <v>80428</v>
      </c>
      <c r="Q163" s="71">
        <f t="shared" si="29"/>
        <v>281498</v>
      </c>
      <c r="R163" s="72">
        <v>180963</v>
      </c>
      <c r="S163" s="76">
        <f>T163+U163</f>
        <v>8387051.54</v>
      </c>
      <c r="T163" s="134">
        <v>7731449.3799999999</v>
      </c>
      <c r="U163" s="77">
        <f>497255.46+158346.7</f>
        <v>655602.16</v>
      </c>
      <c r="V163" s="77">
        <v>3840000</v>
      </c>
      <c r="W163" s="76">
        <f t="shared" si="34"/>
        <v>-997340.97000000067</v>
      </c>
      <c r="X163" s="114">
        <f t="shared" si="35"/>
        <v>4547051.54</v>
      </c>
      <c r="Y163" s="50">
        <f t="shared" si="36"/>
        <v>588531.89</v>
      </c>
      <c r="Z163" s="10">
        <f t="shared" si="32"/>
        <v>80428</v>
      </c>
      <c r="AA163" s="53">
        <f t="shared" si="33"/>
        <v>562996</v>
      </c>
    </row>
    <row r="164" spans="1:27" s="10" customFormat="1" ht="30" customHeight="1">
      <c r="A164" s="111">
        <v>163</v>
      </c>
      <c r="B164" s="68" t="s">
        <v>11</v>
      </c>
      <c r="C164" s="68" t="s">
        <v>119</v>
      </c>
      <c r="D164" s="69" t="s">
        <v>269</v>
      </c>
      <c r="E164" s="69">
        <v>8</v>
      </c>
      <c r="F164" s="69"/>
      <c r="G164" s="115">
        <v>5551.3</v>
      </c>
      <c r="H164" s="70">
        <v>41921</v>
      </c>
      <c r="I164" s="70">
        <v>41974</v>
      </c>
      <c r="J164" s="74" t="s">
        <v>310</v>
      </c>
      <c r="K164" s="91" t="s">
        <v>138</v>
      </c>
      <c r="L164" s="71">
        <f t="shared" si="27"/>
        <v>4023770.8199999994</v>
      </c>
      <c r="M164" s="72">
        <v>3968257.8199999994</v>
      </c>
      <c r="N164" s="72">
        <v>10</v>
      </c>
      <c r="O164" s="72">
        <f t="shared" si="28"/>
        <v>55513</v>
      </c>
      <c r="P164" s="72">
        <f t="shared" si="30"/>
        <v>44410.400000000001</v>
      </c>
      <c r="Q164" s="71">
        <f t="shared" si="29"/>
        <v>155436.4</v>
      </c>
      <c r="R164" s="72">
        <v>99923.4</v>
      </c>
      <c r="S164" s="71">
        <f t="shared" si="31"/>
        <v>3691018.0799999996</v>
      </c>
      <c r="T164" s="72">
        <v>3392013.1799999997</v>
      </c>
      <c r="U164" s="78">
        <v>299004.90000000002</v>
      </c>
      <c r="V164" s="76"/>
      <c r="W164" s="76">
        <f t="shared" si="34"/>
        <v>332752.73999999976</v>
      </c>
      <c r="X164" s="114">
        <f t="shared" si="35"/>
        <v>3691018.0799999996</v>
      </c>
      <c r="Y164" s="50">
        <f t="shared" si="36"/>
        <v>324973.10200000001</v>
      </c>
      <c r="Z164" s="10">
        <f t="shared" si="32"/>
        <v>44410.400000000001</v>
      </c>
      <c r="AA164" s="53">
        <f t="shared" si="33"/>
        <v>310872.8</v>
      </c>
    </row>
    <row r="165" spans="1:27" s="10" customFormat="1" ht="35.25" customHeight="1">
      <c r="A165" s="111">
        <v>164</v>
      </c>
      <c r="B165" s="68" t="s">
        <v>11</v>
      </c>
      <c r="C165" s="68" t="s">
        <v>120</v>
      </c>
      <c r="D165" s="69" t="s">
        <v>266</v>
      </c>
      <c r="E165" s="69">
        <v>8</v>
      </c>
      <c r="F165" s="69"/>
      <c r="G165" s="115">
        <v>5198.8</v>
      </c>
      <c r="H165" s="70">
        <v>41926</v>
      </c>
      <c r="I165" s="70">
        <v>41974</v>
      </c>
      <c r="J165" s="91" t="s">
        <v>221</v>
      </c>
      <c r="K165" s="91" t="s">
        <v>125</v>
      </c>
      <c r="L165" s="118">
        <f>3823924.02+41590*2+51988</f>
        <v>3959092.02</v>
      </c>
      <c r="M165" s="72">
        <v>3959092.02</v>
      </c>
      <c r="N165" s="72">
        <v>10</v>
      </c>
      <c r="O165" s="72">
        <f t="shared" si="28"/>
        <v>51988</v>
      </c>
      <c r="P165" s="72">
        <f t="shared" si="30"/>
        <v>41590.400000000001</v>
      </c>
      <c r="Q165" s="71">
        <f t="shared" si="29"/>
        <v>145566.39999999999</v>
      </c>
      <c r="R165" s="72">
        <v>93578.4</v>
      </c>
      <c r="S165" s="71">
        <f t="shared" si="31"/>
        <v>3916472.3099999996</v>
      </c>
      <c r="T165" s="72">
        <v>3559405.3</v>
      </c>
      <c r="U165" s="76">
        <v>357067.01</v>
      </c>
      <c r="V165" s="76"/>
      <c r="W165" s="76">
        <f t="shared" si="34"/>
        <v>42619.710000000428</v>
      </c>
      <c r="X165" s="114">
        <f t="shared" si="35"/>
        <v>3916472.3099999996</v>
      </c>
      <c r="Y165" s="50">
        <f t="shared" si="36"/>
        <v>304337.75200000004</v>
      </c>
      <c r="Z165" s="10">
        <f t="shared" si="32"/>
        <v>41590.400000000001</v>
      </c>
      <c r="AA165" s="53">
        <f t="shared" si="33"/>
        <v>291132.79999999999</v>
      </c>
    </row>
    <row r="166" spans="1:27" s="10" customFormat="1" ht="34.5" customHeight="1">
      <c r="A166" s="111">
        <v>165</v>
      </c>
      <c r="B166" s="68" t="s">
        <v>11</v>
      </c>
      <c r="C166" s="68" t="s">
        <v>121</v>
      </c>
      <c r="D166" s="69" t="s">
        <v>284</v>
      </c>
      <c r="E166" s="69">
        <v>8</v>
      </c>
      <c r="F166" s="69"/>
      <c r="G166" s="73">
        <v>18577.55</v>
      </c>
      <c r="H166" s="70">
        <v>42557</v>
      </c>
      <c r="I166" s="70">
        <v>41974</v>
      </c>
      <c r="J166" s="91" t="s">
        <v>222</v>
      </c>
      <c r="K166" s="91" t="s">
        <v>125</v>
      </c>
      <c r="L166" s="71">
        <f t="shared" si="27"/>
        <v>13485014.268000003</v>
      </c>
      <c r="M166" s="72">
        <v>13299238.768000003</v>
      </c>
      <c r="N166" s="72">
        <v>10</v>
      </c>
      <c r="O166" s="72">
        <f t="shared" si="28"/>
        <v>185775.5</v>
      </c>
      <c r="P166" s="72">
        <f t="shared" si="30"/>
        <v>148620.4</v>
      </c>
      <c r="Q166" s="71">
        <f t="shared" si="29"/>
        <v>520171.4</v>
      </c>
      <c r="R166" s="72">
        <v>334395.90000000002</v>
      </c>
      <c r="S166" s="71">
        <f t="shared" si="31"/>
        <v>13149311.58</v>
      </c>
      <c r="T166" s="72">
        <v>12207633.67</v>
      </c>
      <c r="U166" s="77">
        <f>942692.31-1014.4</f>
        <v>941677.91</v>
      </c>
      <c r="V166" s="76">
        <v>809931.66</v>
      </c>
      <c r="W166" s="76">
        <f t="shared" si="34"/>
        <v>335702.68800000288</v>
      </c>
      <c r="X166" s="114">
        <f t="shared" si="35"/>
        <v>12339379.92</v>
      </c>
      <c r="Y166" s="50">
        <f t="shared" si="36"/>
        <v>1087529.777</v>
      </c>
      <c r="Z166" s="10">
        <f t="shared" si="32"/>
        <v>148620.4</v>
      </c>
      <c r="AA166" s="53">
        <f t="shared" si="33"/>
        <v>1040342.7999999999</v>
      </c>
    </row>
    <row r="167" spans="1:27" s="10" customFormat="1" ht="40.5" customHeight="1">
      <c r="A167" s="111">
        <v>166</v>
      </c>
      <c r="B167" s="68" t="s">
        <v>11</v>
      </c>
      <c r="C167" s="68" t="s">
        <v>378</v>
      </c>
      <c r="D167" s="69" t="s">
        <v>361</v>
      </c>
      <c r="E167" s="69">
        <v>8</v>
      </c>
      <c r="F167" s="69"/>
      <c r="G167" s="73">
        <v>9072.5300000000007</v>
      </c>
      <c r="H167" s="70">
        <v>45156</v>
      </c>
      <c r="I167" s="70">
        <v>41974</v>
      </c>
      <c r="J167" s="74" t="s">
        <v>126</v>
      </c>
      <c r="K167" s="91" t="s">
        <v>125</v>
      </c>
      <c r="L167" s="71">
        <f t="shared" si="27"/>
        <v>6825054.0900000008</v>
      </c>
      <c r="M167" s="72">
        <v>6734328.790000001</v>
      </c>
      <c r="N167" s="72">
        <v>10</v>
      </c>
      <c r="O167" s="72">
        <f t="shared" si="28"/>
        <v>90725.3</v>
      </c>
      <c r="P167" s="72">
        <f t="shared" si="30"/>
        <v>72580.240000000005</v>
      </c>
      <c r="Q167" s="71">
        <f t="shared" si="29"/>
        <v>254030.84000000003</v>
      </c>
      <c r="R167" s="72">
        <v>163305.54</v>
      </c>
      <c r="S167" s="71">
        <f t="shared" si="31"/>
        <v>6265082.2000000002</v>
      </c>
      <c r="T167" s="75">
        <v>5906688.5300000003</v>
      </c>
      <c r="U167" s="77">
        <f>358393.67</f>
        <v>358393.67</v>
      </c>
      <c r="V167" s="76"/>
      <c r="W167" s="76">
        <f t="shared" si="34"/>
        <v>559971.8900000006</v>
      </c>
      <c r="X167" s="114">
        <f t="shared" si="35"/>
        <v>6265082.2000000002</v>
      </c>
      <c r="Y167" s="50"/>
      <c r="Z167" s="10">
        <f t="shared" si="32"/>
        <v>72580.240000000005</v>
      </c>
      <c r="AA167" s="53">
        <f t="shared" si="33"/>
        <v>508061.68000000005</v>
      </c>
    </row>
    <row r="168" spans="1:27" s="10" customFormat="1" ht="40.5" customHeight="1">
      <c r="A168" s="111">
        <v>167</v>
      </c>
      <c r="B168" s="68" t="s">
        <v>11</v>
      </c>
      <c r="C168" s="68" t="s">
        <v>393</v>
      </c>
      <c r="D168" s="69"/>
      <c r="E168" s="69"/>
      <c r="F168" s="69"/>
      <c r="G168" s="73">
        <v>3996.4</v>
      </c>
      <c r="H168" s="70">
        <v>45406</v>
      </c>
      <c r="I168" s="70">
        <v>41974</v>
      </c>
      <c r="J168" s="74" t="s">
        <v>396</v>
      </c>
      <c r="K168" s="91" t="s">
        <v>125</v>
      </c>
      <c r="L168" s="71">
        <v>0</v>
      </c>
      <c r="M168" s="72"/>
      <c r="N168" s="72"/>
      <c r="O168" s="72"/>
      <c r="P168" s="72"/>
      <c r="Q168" s="71">
        <v>0</v>
      </c>
      <c r="R168" s="72"/>
      <c r="S168" s="71">
        <v>0</v>
      </c>
      <c r="T168" s="75"/>
      <c r="U168" s="77">
        <v>0</v>
      </c>
      <c r="V168" s="76"/>
      <c r="W168" s="76"/>
      <c r="X168" s="114">
        <v>0</v>
      </c>
      <c r="Y168" s="50"/>
      <c r="AA168" s="53"/>
    </row>
    <row r="169" spans="1:27" s="10" customFormat="1" ht="40.5" customHeight="1">
      <c r="A169" s="111">
        <v>168</v>
      </c>
      <c r="B169" s="68" t="s">
        <v>11</v>
      </c>
      <c r="C169" s="68" t="s">
        <v>394</v>
      </c>
      <c r="D169" s="69"/>
      <c r="E169" s="69"/>
      <c r="F169" s="69"/>
      <c r="G169" s="73">
        <v>6619</v>
      </c>
      <c r="H169" s="70">
        <v>45407</v>
      </c>
      <c r="I169" s="70">
        <v>41974</v>
      </c>
      <c r="J169" s="74" t="s">
        <v>395</v>
      </c>
      <c r="K169" s="91" t="s">
        <v>125</v>
      </c>
      <c r="L169" s="71">
        <v>0</v>
      </c>
      <c r="M169" s="72"/>
      <c r="N169" s="72"/>
      <c r="O169" s="72"/>
      <c r="P169" s="72"/>
      <c r="Q169" s="71">
        <v>0</v>
      </c>
      <c r="R169" s="72"/>
      <c r="S169" s="71">
        <v>0</v>
      </c>
      <c r="T169" s="75"/>
      <c r="U169" s="77">
        <v>0</v>
      </c>
      <c r="V169" s="76"/>
      <c r="W169" s="76"/>
      <c r="X169" s="114">
        <v>0</v>
      </c>
      <c r="Y169" s="50"/>
      <c r="AA169" s="53"/>
    </row>
    <row r="170" spans="1:27" s="10" customFormat="1" ht="27" customHeight="1">
      <c r="A170" s="111">
        <v>169</v>
      </c>
      <c r="B170" s="68" t="s">
        <v>12</v>
      </c>
      <c r="C170" s="68" t="s">
        <v>122</v>
      </c>
      <c r="D170" s="69" t="s">
        <v>285</v>
      </c>
      <c r="E170" s="69">
        <v>7.38</v>
      </c>
      <c r="F170" s="69"/>
      <c r="G170" s="126">
        <v>4617.99</v>
      </c>
      <c r="H170" s="70">
        <v>43005</v>
      </c>
      <c r="I170" s="70">
        <v>41974</v>
      </c>
      <c r="J170" s="91" t="s">
        <v>224</v>
      </c>
      <c r="K170" s="91" t="s">
        <v>123</v>
      </c>
      <c r="L170" s="71">
        <f t="shared" si="27"/>
        <v>3265380.7289999994</v>
      </c>
      <c r="M170" s="72">
        <v>3222802.8611999992</v>
      </c>
      <c r="N170" s="72">
        <v>9.2200000000000006</v>
      </c>
      <c r="O170" s="72">
        <f t="shared" si="28"/>
        <v>42577.8678</v>
      </c>
      <c r="P170" s="72">
        <f t="shared" si="30"/>
        <v>34080.766199999998</v>
      </c>
      <c r="Q170" s="71">
        <f t="shared" si="29"/>
        <v>119236.5018</v>
      </c>
      <c r="R170" s="72">
        <v>76658.633999999991</v>
      </c>
      <c r="S170" s="71">
        <f t="shared" si="31"/>
        <v>3552929.9899999998</v>
      </c>
      <c r="T170" s="72">
        <v>3266902.6599999997</v>
      </c>
      <c r="U170" s="78">
        <f>286027.33</f>
        <v>286027.33</v>
      </c>
      <c r="V170" s="76"/>
      <c r="W170" s="76">
        <f t="shared" si="34"/>
        <v>-287549.26100000041</v>
      </c>
      <c r="X170" s="114">
        <f t="shared" si="35"/>
        <v>3552929.9899999998</v>
      </c>
      <c r="Y170" s="50">
        <f t="shared" si="36"/>
        <v>270337.13459999999</v>
      </c>
      <c r="Z170" s="10">
        <f t="shared" si="32"/>
        <v>34080.766199999998</v>
      </c>
      <c r="AA170" s="53">
        <f t="shared" si="33"/>
        <v>238565.36339999997</v>
      </c>
    </row>
    <row r="171" spans="1:27" s="10" customFormat="1" ht="45" customHeight="1">
      <c r="A171" s="111">
        <v>170</v>
      </c>
      <c r="B171" s="68" t="s">
        <v>12</v>
      </c>
      <c r="C171" s="68" t="s">
        <v>386</v>
      </c>
      <c r="D171" s="69" t="s">
        <v>285</v>
      </c>
      <c r="E171" s="69">
        <v>7.38</v>
      </c>
      <c r="F171" s="69"/>
      <c r="G171" s="126">
        <v>4336.92</v>
      </c>
      <c r="H171" s="70">
        <v>41913</v>
      </c>
      <c r="I171" s="70">
        <v>41974</v>
      </c>
      <c r="J171" s="91" t="s">
        <v>223</v>
      </c>
      <c r="K171" s="91" t="s">
        <v>123</v>
      </c>
      <c r="L171" s="71">
        <f t="shared" si="27"/>
        <v>3066636.1319999998</v>
      </c>
      <c r="M171" s="72">
        <v>3026649.7295999997</v>
      </c>
      <c r="N171" s="72">
        <v>9.2200000000000006</v>
      </c>
      <c r="O171" s="72">
        <f t="shared" si="28"/>
        <v>39986.402400000006</v>
      </c>
      <c r="P171" s="72">
        <f t="shared" si="30"/>
        <v>32006.4696</v>
      </c>
      <c r="Q171" s="71">
        <f t="shared" si="29"/>
        <v>111979.27440000001</v>
      </c>
      <c r="R171" s="72">
        <v>71992.872000000003</v>
      </c>
      <c r="S171" s="71">
        <f t="shared" si="31"/>
        <v>2906099.1</v>
      </c>
      <c r="T171" s="72">
        <v>2759089.1</v>
      </c>
      <c r="U171" s="78">
        <f>147010</f>
        <v>147010</v>
      </c>
      <c r="V171" s="76">
        <v>2367716.91</v>
      </c>
      <c r="W171" s="76">
        <f t="shared" si="34"/>
        <v>160537.03199999966</v>
      </c>
      <c r="X171" s="114">
        <f t="shared" si="35"/>
        <v>538382.18999999994</v>
      </c>
      <c r="Y171" s="50">
        <f t="shared" si="36"/>
        <v>253883.29680000001</v>
      </c>
      <c r="Z171" s="10">
        <f t="shared" si="32"/>
        <v>32006.4696</v>
      </c>
      <c r="AA171" s="53">
        <f t="shared" si="33"/>
        <v>224045.28719999999</v>
      </c>
    </row>
    <row r="172" spans="1:27" s="11" customFormat="1" ht="33" customHeight="1" thickBot="1">
      <c r="A172" s="141" t="s">
        <v>256</v>
      </c>
      <c r="B172" s="142"/>
      <c r="C172" s="142"/>
      <c r="D172" s="142"/>
      <c r="E172" s="142"/>
      <c r="F172" s="142"/>
      <c r="G172" s="143">
        <f>SUM(G3:G170)</f>
        <v>1088844.4400000002</v>
      </c>
      <c r="H172" s="142"/>
      <c r="I172" s="142"/>
      <c r="J172" s="142"/>
      <c r="K172" s="142"/>
      <c r="L172" s="144">
        <f>SUM(L3:L171)</f>
        <v>695725473.64499974</v>
      </c>
      <c r="M172" s="144"/>
      <c r="N172" s="144"/>
      <c r="O172" s="144"/>
      <c r="P172" s="144">
        <f>SUM(P3:P170)</f>
        <v>8493722.7572000045</v>
      </c>
      <c r="Q172" s="144">
        <f>SUM(Q3:Q171)</f>
        <v>28997967.949199993</v>
      </c>
      <c r="R172" s="144"/>
      <c r="S172" s="145">
        <f>SUM(S3:S171)</f>
        <v>676238324.42000008</v>
      </c>
      <c r="T172" s="145"/>
      <c r="U172" s="145">
        <f>SUM(U3:U171)</f>
        <v>60117677.210000016</v>
      </c>
      <c r="V172" s="145">
        <f>SUM(V3:V171)</f>
        <v>172861144</v>
      </c>
      <c r="W172" s="145">
        <f>SUM(W3:W171)</f>
        <v>19479572.11500001</v>
      </c>
      <c r="X172" s="146">
        <f>SUM(X3:X171)</f>
        <v>503377180.42000014</v>
      </c>
      <c r="Z172" s="11">
        <f>SUM(Z3:Z170)</f>
        <v>7330787.5152000031</v>
      </c>
      <c r="AA172" s="11">
        <f>SUM(AA3:AA170)</f>
        <v>52574538.206399992</v>
      </c>
    </row>
    <row r="173" spans="1:27" s="11" customFormat="1" ht="51" customHeight="1">
      <c r="A173" s="54"/>
      <c r="B173" s="54"/>
      <c r="C173" s="54"/>
      <c r="D173" s="63"/>
      <c r="E173" s="63"/>
      <c r="F173" s="63"/>
      <c r="G173" s="64"/>
      <c r="H173" s="54"/>
      <c r="I173" s="54"/>
      <c r="J173" s="54"/>
      <c r="K173" s="54"/>
      <c r="L173" s="65"/>
      <c r="M173" s="65"/>
      <c r="N173" s="65"/>
      <c r="O173" s="65"/>
      <c r="P173" s="65"/>
      <c r="Q173" s="65"/>
      <c r="R173" s="65"/>
      <c r="S173" s="66"/>
      <c r="T173" s="66"/>
      <c r="U173" s="66" t="s">
        <v>392</v>
      </c>
      <c r="V173" s="66"/>
      <c r="W173" s="66"/>
      <c r="X173" s="66"/>
    </row>
    <row r="174" spans="1:27" s="11" customFormat="1" ht="55.5" customHeight="1">
      <c r="A174" s="54"/>
      <c r="B174" s="54"/>
      <c r="C174" s="54"/>
      <c r="D174" s="63"/>
      <c r="E174" s="63"/>
      <c r="F174" s="63"/>
      <c r="G174" s="64"/>
      <c r="H174" s="54"/>
      <c r="I174" s="54"/>
      <c r="J174" s="54"/>
      <c r="K174" s="54"/>
      <c r="L174" s="65"/>
      <c r="M174" s="65"/>
      <c r="N174" s="65"/>
      <c r="O174" s="65"/>
      <c r="P174" s="65"/>
      <c r="Q174" s="65"/>
      <c r="R174" s="65"/>
      <c r="S174" s="66"/>
      <c r="T174" s="66"/>
      <c r="U174" s="66"/>
      <c r="V174" s="66"/>
      <c r="W174" s="66"/>
      <c r="X174" s="66"/>
    </row>
    <row r="175" spans="1:27" s="11" customFormat="1" ht="15.75">
      <c r="A175" s="13"/>
      <c r="B175" s="13"/>
      <c r="C175" s="13"/>
      <c r="D175" s="15"/>
      <c r="E175" s="15"/>
      <c r="F175" s="15"/>
      <c r="G175" s="34"/>
      <c r="H175" s="13"/>
      <c r="I175" s="13"/>
      <c r="J175" s="13"/>
      <c r="K175" s="54"/>
      <c r="L175" s="42"/>
      <c r="M175" s="42"/>
      <c r="N175" s="42"/>
      <c r="O175" s="42"/>
      <c r="P175" s="42"/>
      <c r="Q175" s="26"/>
      <c r="R175" s="26"/>
      <c r="S175" s="26"/>
      <c r="T175" s="26"/>
      <c r="U175" s="27"/>
      <c r="V175" s="27"/>
      <c r="W175" s="27"/>
      <c r="X175" s="27"/>
    </row>
    <row r="176" spans="1:27" s="11" customFormat="1" ht="24.75" customHeight="1">
      <c r="A176" s="51"/>
      <c r="B176" s="13"/>
      <c r="C176" s="13"/>
      <c r="D176" s="15"/>
      <c r="E176" s="15"/>
      <c r="F176" s="15"/>
      <c r="G176" s="34"/>
      <c r="H176" s="13"/>
      <c r="I176" s="13"/>
      <c r="J176" s="13"/>
      <c r="K176" s="13"/>
      <c r="L176" s="43"/>
      <c r="M176" s="43"/>
      <c r="N176" s="43"/>
      <c r="O176" s="43"/>
      <c r="P176" s="43"/>
      <c r="Q176" s="20"/>
      <c r="R176" s="20"/>
      <c r="S176" s="20"/>
      <c r="T176" s="20"/>
      <c r="U176" s="20"/>
      <c r="V176" s="14"/>
      <c r="W176" s="14"/>
      <c r="X176" s="14"/>
    </row>
    <row r="177" spans="1:24" s="11" customFormat="1" ht="25.5" customHeight="1">
      <c r="A177" s="13"/>
      <c r="B177" s="13"/>
      <c r="C177" s="13"/>
      <c r="D177" s="15"/>
      <c r="E177" s="15"/>
      <c r="F177" s="15"/>
      <c r="G177" s="34"/>
      <c r="H177" s="54"/>
      <c r="I177" s="54"/>
      <c r="J177" s="13"/>
      <c r="K177" s="13"/>
      <c r="L177" s="43"/>
      <c r="M177" s="43"/>
      <c r="N177" s="43"/>
      <c r="O177" s="43"/>
      <c r="P177" s="43"/>
      <c r="Q177" s="20"/>
      <c r="R177" s="20"/>
      <c r="S177" s="20"/>
      <c r="T177" s="20"/>
      <c r="U177" s="20"/>
      <c r="V177" s="14"/>
      <c r="W177" s="14"/>
      <c r="X177" s="14"/>
    </row>
    <row r="178" spans="1:24" ht="31.5" customHeight="1">
      <c r="A178" s="81"/>
      <c r="B178" s="81"/>
      <c r="C178" s="80"/>
      <c r="D178" s="16"/>
      <c r="E178" s="16"/>
      <c r="F178" s="16"/>
      <c r="G178" s="35"/>
      <c r="H178" s="28"/>
      <c r="I178" s="28"/>
      <c r="J178" s="28"/>
      <c r="K178" s="28"/>
      <c r="L178" s="21"/>
      <c r="M178" s="21"/>
      <c r="N178" s="21"/>
      <c r="O178" s="21"/>
      <c r="P178" s="21"/>
      <c r="Q178" s="21"/>
      <c r="R178" s="21"/>
      <c r="S178" s="21"/>
      <c r="T178" s="21"/>
      <c r="U178" s="58"/>
      <c r="V178" s="1"/>
      <c r="W178" s="4"/>
      <c r="X178" s="5"/>
    </row>
    <row r="179" spans="1:24" ht="18.75" customHeight="1">
      <c r="A179" s="80"/>
      <c r="B179" s="80"/>
      <c r="C179" s="80"/>
      <c r="D179" s="16"/>
      <c r="E179" s="16"/>
      <c r="F179" s="16"/>
      <c r="G179" s="36"/>
      <c r="H179" s="82" t="s">
        <v>397</v>
      </c>
      <c r="I179" s="82"/>
      <c r="J179" s="82"/>
      <c r="K179" s="12" t="s">
        <v>254</v>
      </c>
      <c r="L179" s="44"/>
      <c r="M179" s="44"/>
      <c r="N179" s="44"/>
      <c r="O179" s="44"/>
      <c r="P179" s="44"/>
      <c r="Q179" s="83"/>
      <c r="R179" s="83"/>
      <c r="S179" s="83"/>
      <c r="T179" s="83"/>
      <c r="U179" s="84"/>
      <c r="V179" s="12" t="s">
        <v>398</v>
      </c>
      <c r="W179" s="4"/>
      <c r="X179" s="5"/>
    </row>
    <row r="180" spans="1:24" ht="60.75" customHeight="1">
      <c r="A180" s="28"/>
      <c r="B180" s="29"/>
      <c r="C180" s="29"/>
      <c r="D180" s="17"/>
      <c r="E180" s="17"/>
      <c r="F180" s="17"/>
      <c r="G180" s="37"/>
      <c r="H180" s="46"/>
      <c r="I180" s="46"/>
      <c r="J180" s="56"/>
      <c r="K180" s="8"/>
      <c r="L180" s="23"/>
      <c r="M180" s="23"/>
      <c r="N180" s="23"/>
      <c r="O180" s="23"/>
      <c r="P180" s="23"/>
      <c r="Q180" s="23"/>
      <c r="R180" s="23"/>
      <c r="S180" s="22"/>
      <c r="T180" s="22"/>
      <c r="U180" s="59"/>
      <c r="V180" s="6"/>
      <c r="W180" s="4"/>
    </row>
    <row r="181" spans="1:24" ht="21">
      <c r="A181" s="28"/>
      <c r="B181" s="85" t="s">
        <v>2</v>
      </c>
      <c r="C181" s="85"/>
      <c r="D181" s="86"/>
      <c r="E181" s="86"/>
      <c r="F181" s="86"/>
      <c r="G181" s="85"/>
      <c r="H181" s="82" t="s">
        <v>299</v>
      </c>
      <c r="I181" s="82"/>
      <c r="J181" s="87"/>
      <c r="K181" s="8"/>
      <c r="L181" s="23"/>
      <c r="M181" s="23"/>
      <c r="N181" s="23"/>
      <c r="O181" s="23"/>
      <c r="P181" s="23"/>
      <c r="Q181" s="88"/>
      <c r="R181" s="88"/>
      <c r="S181" s="88"/>
      <c r="T181" s="88"/>
      <c r="U181" s="89"/>
      <c r="V181" s="52" t="s">
        <v>328</v>
      </c>
    </row>
    <row r="182" spans="1:24" ht="45" customHeight="1">
      <c r="A182" s="28"/>
      <c r="B182" s="38" t="s">
        <v>290</v>
      </c>
      <c r="C182" s="30"/>
      <c r="D182" s="18"/>
      <c r="E182" s="18"/>
      <c r="F182" s="18"/>
      <c r="G182" s="38"/>
      <c r="H182" s="28"/>
      <c r="I182" s="28"/>
      <c r="J182" s="28"/>
      <c r="K182" s="28"/>
      <c r="L182" s="21"/>
      <c r="M182" s="21"/>
      <c r="N182" s="21"/>
      <c r="O182" s="21"/>
      <c r="P182" s="21"/>
      <c r="Q182" s="23"/>
      <c r="R182" s="23"/>
      <c r="S182" s="23"/>
      <c r="T182" s="23"/>
      <c r="U182" s="60"/>
      <c r="V182" s="8"/>
    </row>
    <row r="183" spans="1:24" ht="65.25" customHeight="1">
      <c r="A183" s="28"/>
      <c r="B183" s="39"/>
      <c r="C183" s="29"/>
      <c r="D183" s="17"/>
      <c r="E183" s="17"/>
      <c r="F183" s="17"/>
      <c r="G183" s="39"/>
      <c r="H183" s="47"/>
      <c r="I183" s="47"/>
      <c r="J183" s="45"/>
      <c r="K183" s="49"/>
      <c r="L183" s="32"/>
      <c r="M183" s="32"/>
      <c r="N183" s="32"/>
      <c r="O183" s="32"/>
      <c r="P183" s="32"/>
      <c r="Q183" s="32"/>
      <c r="R183" s="32"/>
      <c r="S183" s="24"/>
      <c r="T183" s="24"/>
      <c r="U183" s="61"/>
      <c r="V183" s="7"/>
    </row>
    <row r="184" spans="1:24" ht="42">
      <c r="A184" s="28"/>
      <c r="B184" s="40" t="s">
        <v>3</v>
      </c>
      <c r="C184" s="29"/>
      <c r="D184" s="17"/>
      <c r="E184" s="17"/>
      <c r="F184" s="17"/>
      <c r="G184" s="40"/>
      <c r="H184" s="47"/>
      <c r="I184" s="47"/>
      <c r="J184" s="45"/>
      <c r="K184" s="49"/>
      <c r="L184" s="32"/>
      <c r="M184" s="32"/>
      <c r="N184" s="32"/>
      <c r="O184" s="32"/>
      <c r="P184" s="32"/>
      <c r="Q184" s="32"/>
      <c r="R184" s="32"/>
      <c r="S184" s="24"/>
      <c r="T184" s="24"/>
      <c r="U184" s="61"/>
      <c r="V184" s="7"/>
    </row>
    <row r="185" spans="1:24">
      <c r="B185" s="31"/>
    </row>
    <row r="187" spans="1:24" ht="27.75" hidden="1" customHeight="1">
      <c r="J187" s="55"/>
      <c r="K187" s="57"/>
    </row>
    <row r="188" spans="1:24" ht="27.75" hidden="1" customHeight="1"/>
    <row r="189" spans="1:24" ht="27.75" hidden="1" customHeight="1"/>
    <row r="190" spans="1:24" ht="27.75" hidden="1" customHeight="1"/>
    <row r="191" spans="1:24" ht="22.5" hidden="1" customHeight="1"/>
    <row r="192" spans="1:24" ht="30" hidden="1" customHeight="1"/>
    <row r="348" ht="13.5" customHeight="1"/>
    <row r="349" ht="13.5" customHeight="1"/>
    <row r="350" ht="18.75" customHeight="1"/>
    <row r="362" spans="1:27" ht="34.5" customHeight="1"/>
    <row r="364" spans="1:27" ht="42.75" customHeight="1"/>
    <row r="365" spans="1:27" s="2" customFormat="1">
      <c r="A365" s="1"/>
      <c r="B365" s="1"/>
      <c r="C365" s="1"/>
      <c r="D365" s="19"/>
      <c r="E365" s="19"/>
      <c r="F365" s="19"/>
      <c r="G365" s="41"/>
      <c r="H365" s="48"/>
      <c r="I365" s="48"/>
      <c r="J365" s="9"/>
      <c r="L365" s="33"/>
      <c r="M365" s="33"/>
      <c r="N365" s="33"/>
      <c r="O365" s="33"/>
      <c r="P365" s="33"/>
      <c r="Q365" s="33"/>
      <c r="R365" s="33"/>
      <c r="S365" s="25"/>
      <c r="T365" s="25"/>
      <c r="U365" s="62"/>
      <c r="V365" s="3"/>
      <c r="W365" s="3"/>
      <c r="X365" s="9"/>
      <c r="Y365" s="1"/>
      <c r="Z365" s="1"/>
      <c r="AA365" s="1"/>
    </row>
    <row r="366" spans="1:27" ht="12.75" customHeight="1"/>
    <row r="367" spans="1:27" ht="40.5" customHeight="1"/>
  </sheetData>
  <mergeCells count="6">
    <mergeCell ref="A178:B178"/>
    <mergeCell ref="H179:J179"/>
    <mergeCell ref="Q179:U179"/>
    <mergeCell ref="B181:G181"/>
    <mergeCell ref="H181:J181"/>
    <mergeCell ref="Q181:U181"/>
  </mergeCells>
  <pageMargins left="0.23622047244094491" right="0.23622047244094491" top="0.74803149606299213" bottom="0.74803149606299213" header="0.31496062992125984" footer="0.31496062992125984"/>
  <pageSetup paperSize="9" scale="4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по СС РО отчет-сайт</vt:lpstr>
      <vt:lpstr>'Отчет по СС РО отчет-сайт'!Область_печати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Шилова Елена Геннадьевна</dc:creator>
  <cp:lastModifiedBy>Елена Зотова</cp:lastModifiedBy>
  <cp:lastPrinted>2024-05-06T12:41:35Z</cp:lastPrinted>
  <dcterms:created xsi:type="dcterms:W3CDTF">2017-03-03T09:15:49Z</dcterms:created>
  <dcterms:modified xsi:type="dcterms:W3CDTF">2024-05-07T06:29:59Z</dcterms:modified>
  <cp:contentStatus/>
</cp:coreProperties>
</file>